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880" yWindow="65396" windowWidth="21360" windowHeight="27200" tabRatio="736" activeTab="5"/>
  </bookViews>
  <sheets>
    <sheet name="Exam 1" sheetId="1" r:id="rId1"/>
    <sheet name="Exam 2" sheetId="2" r:id="rId2"/>
    <sheet name="Exam 3" sheetId="3" r:id="rId3"/>
    <sheet name="Exam 4" sheetId="4" r:id="rId4"/>
    <sheet name="Exam 5" sheetId="5" r:id="rId5"/>
    <sheet name="Final Exam" sheetId="6" r:id="rId6"/>
  </sheets>
  <definedNames/>
  <calcPr fullCalcOnLoad="1"/>
</workbook>
</file>

<file path=xl/sharedStrings.xml><?xml version="1.0" encoding="utf-8"?>
<sst xmlns="http://schemas.openxmlformats.org/spreadsheetml/2006/main" count="527" uniqueCount="372">
  <si>
    <t>B={all letter strings that don't start with A}</t>
  </si>
  <si>
    <t>B={all letter strings that only contain the letters C-T}</t>
  </si>
  <si>
    <t xml:space="preserve">        21 22 23 24 25 26</t>
  </si>
  <si>
    <t xml:space="preserve">        31 32 33 34 35 36</t>
  </si>
  <si>
    <t xml:space="preserve">        41 42 43 44 45 46</t>
  </si>
  <si>
    <t xml:space="preserve">        51 52 53 54 55 56</t>
  </si>
  <si>
    <t xml:space="preserve">        61 62 63 64 65 66 }</t>
  </si>
  <si>
    <t>f</t>
  </si>
  <si>
    <t>g</t>
  </si>
  <si>
    <t>h</t>
  </si>
  <si>
    <t>i</t>
  </si>
  <si>
    <t>j</t>
  </si>
  <si>
    <t>(MP - MB)</t>
  </si>
  <si>
    <t xml:space="preserve">p(QT|DH) = </t>
  </si>
  <si>
    <t xml:space="preserve">Mode = </t>
  </si>
  <si>
    <r>
      <t>p(A</t>
    </r>
    <r>
      <rPr>
        <sz val="10"/>
        <rFont val="Arial"/>
        <family val="0"/>
      </rPr>
      <t>∩</t>
    </r>
    <r>
      <rPr>
        <sz val="10"/>
        <rFont val="Verdana"/>
        <family val="0"/>
      </rPr>
      <t xml:space="preserve">B) = 2/36 </t>
    </r>
  </si>
  <si>
    <t>Finite (but 2 points for "countably infinite")</t>
  </si>
  <si>
    <t>1</t>
  </si>
  <si>
    <t>P</t>
  </si>
  <si>
    <t>H</t>
  </si>
  <si>
    <t>F</t>
  </si>
  <si>
    <r>
      <t xml:space="preserve">E(X) + </t>
    </r>
    <r>
      <rPr>
        <sz val="10"/>
        <rFont val="Symbol"/>
        <family val="0"/>
      </rPr>
      <t xml:space="preserve">s </t>
    </r>
    <r>
      <rPr>
        <sz val="10"/>
        <rFont val="Verdana"/>
        <family val="0"/>
      </rPr>
      <t xml:space="preserve">=  </t>
    </r>
  </si>
  <si>
    <t>N</t>
  </si>
  <si>
    <t>Frequencies</t>
  </si>
  <si>
    <t>Probabilities</t>
  </si>
  <si>
    <t>2</t>
  </si>
  <si>
    <t>C</t>
  </si>
  <si>
    <t>S</t>
  </si>
  <si>
    <t>D</t>
  </si>
  <si>
    <t xml:space="preserve">A </t>
  </si>
  <si>
    <t xml:space="preserve">not-A </t>
  </si>
  <si>
    <t>a</t>
  </si>
  <si>
    <t>b</t>
  </si>
  <si>
    <t>c</t>
  </si>
  <si>
    <t>d</t>
  </si>
  <si>
    <t>e</t>
  </si>
  <si>
    <t>f</t>
  </si>
  <si>
    <t>g-a</t>
  </si>
  <si>
    <t>g-b</t>
  </si>
  <si>
    <t>g-c</t>
  </si>
  <si>
    <t>g-d</t>
  </si>
  <si>
    <t>g-e</t>
  </si>
  <si>
    <r>
      <t xml:space="preserve">computed by: M = </t>
    </r>
    <r>
      <rPr>
        <sz val="10"/>
        <rFont val="Symbol"/>
        <family val="0"/>
      </rPr>
      <t>S</t>
    </r>
    <r>
      <rPr>
        <sz val="10"/>
        <rFont val="Verdana"/>
        <family val="0"/>
      </rPr>
      <t xml:space="preserve">x/n; M = </t>
    </r>
    <r>
      <rPr>
        <sz val="10"/>
        <rFont val="Symbol"/>
        <family val="0"/>
      </rPr>
      <t>S</t>
    </r>
    <r>
      <rPr>
        <sz val="10"/>
        <rFont val="Verdana"/>
        <family val="0"/>
      </rPr>
      <t xml:space="preserve">vf(v)/n; M = </t>
    </r>
    <r>
      <rPr>
        <sz val="10"/>
        <rFont val="Symbol"/>
        <family val="0"/>
      </rPr>
      <t>S</t>
    </r>
    <r>
      <rPr>
        <sz val="10"/>
        <rFont val="Verdana"/>
        <family val="0"/>
      </rPr>
      <t>vp(v): See above</t>
    </r>
  </si>
  <si>
    <t xml:space="preserve">Percent of distribution: </t>
  </si>
  <si>
    <t>not-N</t>
  </si>
  <si>
    <t>T</t>
  </si>
  <si>
    <t>not-T</t>
  </si>
  <si>
    <t>Independent: Probs</t>
  </si>
  <si>
    <t>0.4 becomes</t>
  </si>
  <si>
    <t>The ordinate value for the range .1 - .5 should be 2.5</t>
  </si>
  <si>
    <t>X</t>
  </si>
  <si>
    <r>
      <t>(X-M)</t>
    </r>
    <r>
      <rPr>
        <vertAlign val="superscript"/>
        <sz val="10"/>
        <rFont val="Verdana"/>
        <family val="0"/>
      </rPr>
      <t>2</t>
    </r>
  </si>
  <si>
    <t>is the probability that you reject H0 given that H0 is false</t>
  </si>
  <si>
    <t xml:space="preserve">If obtained (M1-M2) &lt; </t>
  </si>
  <si>
    <t xml:space="preserve">p = </t>
  </si>
  <si>
    <t xml:space="preserve">q = </t>
  </si>
  <si>
    <t>p(3 successes)</t>
  </si>
  <si>
    <t xml:space="preserve">N = </t>
  </si>
  <si>
    <t xml:space="preserve">no. of successes = </t>
  </si>
  <si>
    <t>p(0 successes)</t>
  </si>
  <si>
    <t xml:space="preserve">p(at least one success) = </t>
  </si>
  <si>
    <t xml:space="preserve">E(X) = </t>
  </si>
  <si>
    <t>variance</t>
  </si>
  <si>
    <t>SD</t>
  </si>
  <si>
    <t>n</t>
  </si>
  <si>
    <t>M</t>
  </si>
  <si>
    <t>Information</t>
  </si>
  <si>
    <t>Gray</t>
  </si>
  <si>
    <t>Brown</t>
  </si>
  <si>
    <t>Confidence level</t>
  </si>
  <si>
    <t>criteria z's</t>
  </si>
  <si>
    <t xml:space="preserve">F(z2) = </t>
  </si>
  <si>
    <t xml:space="preserve">Power = </t>
  </si>
  <si>
    <t>Fail to reject H0</t>
  </si>
  <si>
    <t>Reject H0</t>
  </si>
  <si>
    <t xml:space="preserve">Confidence level = </t>
  </si>
  <si>
    <t xml:space="preserve">Upper limit = </t>
  </si>
  <si>
    <t xml:space="preserve">lower limit = </t>
  </si>
  <si>
    <t xml:space="preserve">Crit z = </t>
  </si>
  <si>
    <t>If Obt mean ≥</t>
  </si>
  <si>
    <t>For Power:</t>
  </si>
  <si>
    <t xml:space="preserve">M = </t>
  </si>
  <si>
    <t xml:space="preserve">n = </t>
  </si>
  <si>
    <t xml:space="preserve">Change by H1 = </t>
  </si>
  <si>
    <t>If H0 true then M is distributed with...</t>
  </si>
  <si>
    <t xml:space="preserve">Crit z = </t>
  </si>
  <si>
    <t xml:space="preserve">Crit M = </t>
  </si>
  <si>
    <t>Decision rule:</t>
  </si>
  <si>
    <t>If Obt mean &lt;</t>
  </si>
  <si>
    <t>then reject H0</t>
  </si>
  <si>
    <t>then fail to reject H0</t>
  </si>
  <si>
    <t xml:space="preserve"> minus infinity</t>
  </si>
  <si>
    <t xml:space="preserve">z2 = </t>
  </si>
  <si>
    <t>A={all letter strings that have A-D as the third letter}</t>
  </si>
  <si>
    <t>A={all letter strings that only contain the letters A-K}</t>
  </si>
  <si>
    <t>B={all letter strings containing only letters F-P}</t>
  </si>
  <si>
    <t>B={all letter strings that have B-Z as the third letter}</t>
  </si>
  <si>
    <t>Summary score: number of people (or percentage of people) in the survey favoring Ms. Palin as the nominee NOTE: This means that the RFSA should reject H0 assuming that the summary score is smaller than some appropriate criterion.</t>
  </si>
  <si>
    <t>Example: 41 (meaning: 4 on the red die, and 1 on the green die)</t>
  </si>
  <si>
    <t>S = {11 12 13 14 15 16</t>
  </si>
  <si>
    <t>f(S) = 36</t>
  </si>
  <si>
    <t>p(A) =6/36 = 1/6</t>
  </si>
  <si>
    <t>p(B) =12/36 = 1/3</t>
  </si>
  <si>
    <r>
      <t xml:space="preserve">computed by </t>
    </r>
    <r>
      <rPr>
        <sz val="10"/>
        <rFont val="Symbol"/>
        <family val="0"/>
      </rPr>
      <t>S</t>
    </r>
    <r>
      <rPr>
        <sz val="10"/>
        <rFont val="Verdana"/>
        <family val="0"/>
      </rPr>
      <t>(X-M)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/n and (</t>
    </r>
    <r>
      <rPr>
        <sz val="10"/>
        <rFont val="Symbol"/>
        <family val="0"/>
      </rPr>
      <t>S</t>
    </r>
    <r>
      <rPr>
        <sz val="10"/>
        <rFont val="Verdana"/>
        <family val="0"/>
      </rPr>
      <t>X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/n) - M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: See above</t>
    </r>
  </si>
  <si>
    <t>The RFS should set its criterion at 2 or fewer people favoring Ms. Palin's plan</t>
  </si>
  <si>
    <t>Values between plus and minus one SD of E(x)</t>
  </si>
  <si>
    <t xml:space="preserve">lose </t>
  </si>
  <si>
    <t xml:space="preserve">Total badge characters (N) = </t>
  </si>
  <si>
    <t xml:space="preserve">possible values of each character (k) = </t>
  </si>
  <si>
    <t>f = favor</t>
  </si>
  <si>
    <t>p(f)</t>
  </si>
  <si>
    <t>p(≤f)</t>
  </si>
  <si>
    <r>
      <t xml:space="preserve">Actual  value of </t>
    </r>
    <r>
      <rPr>
        <sz val="11"/>
        <rFont val="Symbol"/>
        <family val="0"/>
      </rPr>
      <t>a</t>
    </r>
    <r>
      <rPr>
        <sz val="11"/>
        <rFont val="Verdana"/>
        <family val="0"/>
      </rPr>
      <t xml:space="preserve"> = </t>
    </r>
  </si>
  <si>
    <t>d</t>
  </si>
  <si>
    <t>2</t>
  </si>
  <si>
    <t>a</t>
  </si>
  <si>
    <r>
      <t>s</t>
    </r>
    <r>
      <rPr>
        <vertAlign val="superscript"/>
        <sz val="11"/>
        <rFont val="Symbol"/>
        <family val="0"/>
      </rPr>
      <t>2</t>
    </r>
    <r>
      <rPr>
        <sz val="11"/>
        <rFont val="Symbol"/>
        <family val="0"/>
      </rPr>
      <t xml:space="preserve"> = </t>
    </r>
  </si>
  <si>
    <t>b</t>
  </si>
  <si>
    <t>Interval</t>
  </si>
  <si>
    <r>
      <t>c</t>
    </r>
    <r>
      <rPr>
        <u val="single"/>
        <vertAlign val="subscript"/>
        <sz val="11"/>
        <rFont val="Verdana"/>
        <family val="0"/>
      </rPr>
      <t>1</t>
    </r>
  </si>
  <si>
    <r>
      <t>c</t>
    </r>
    <r>
      <rPr>
        <u val="single"/>
        <vertAlign val="subscript"/>
        <sz val="11"/>
        <rFont val="Verdana"/>
        <family val="0"/>
      </rPr>
      <t>2</t>
    </r>
  </si>
  <si>
    <r>
      <t>z</t>
    </r>
    <r>
      <rPr>
        <u val="single"/>
        <vertAlign val="subscript"/>
        <sz val="11"/>
        <rFont val="Verdana"/>
        <family val="0"/>
      </rPr>
      <t>1</t>
    </r>
  </si>
  <si>
    <r>
      <t>z</t>
    </r>
    <r>
      <rPr>
        <u val="single"/>
        <vertAlign val="subscript"/>
        <sz val="11"/>
        <rFont val="Verdana"/>
        <family val="0"/>
      </rPr>
      <t>2</t>
    </r>
  </si>
  <si>
    <r>
      <t>X</t>
    </r>
    <r>
      <rPr>
        <vertAlign val="superscript"/>
        <sz val="10"/>
        <rFont val="Verdana"/>
        <family val="0"/>
      </rPr>
      <t>2</t>
    </r>
  </si>
  <si>
    <t>p(AUB) = p(A)+p(B)-p(A&amp;B) = 6/36 + 12/36 - 2/36 = 16/36 = 4/9</t>
  </si>
  <si>
    <t>example: sum of the two dice = {2 3 4 5 6 7 8 9 10 11 12}</t>
  </si>
  <si>
    <t xml:space="preserve">m = </t>
  </si>
  <si>
    <t>H</t>
  </si>
  <si>
    <t>M</t>
  </si>
  <si>
    <t>B</t>
  </si>
  <si>
    <t>C</t>
  </si>
  <si>
    <t>D</t>
  </si>
  <si>
    <t>P</t>
  </si>
  <si>
    <t>FREQUENCIES</t>
  </si>
  <si>
    <t xml:space="preserve">p(W) = </t>
  </si>
  <si>
    <r>
      <t>W</t>
    </r>
    <r>
      <rPr>
        <u val="single"/>
        <vertAlign val="subscript"/>
        <sz val="11"/>
        <rFont val="Verdana"/>
        <family val="0"/>
      </rPr>
      <t>1</t>
    </r>
  </si>
  <si>
    <r>
      <t>W</t>
    </r>
    <r>
      <rPr>
        <u val="single"/>
        <vertAlign val="subscript"/>
        <sz val="11"/>
        <rFont val="Verdana"/>
        <family val="0"/>
      </rPr>
      <t>2</t>
    </r>
  </si>
  <si>
    <t xml:space="preserve">variance =  </t>
  </si>
  <si>
    <t>1</t>
  </si>
  <si>
    <t xml:space="preserve">SD = </t>
  </si>
  <si>
    <t>v</t>
  </si>
  <si>
    <t>vp(v)</t>
  </si>
  <si>
    <r>
      <t>v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p(v)</t>
    </r>
  </si>
  <si>
    <t xml:space="preserve">Cost to enter: </t>
  </si>
  <si>
    <t>w = amount won</t>
  </si>
  <si>
    <r>
      <t>E(X)  -</t>
    </r>
    <r>
      <rPr>
        <sz val="10"/>
        <rFont val="Times"/>
        <family val="0"/>
      </rPr>
      <t xml:space="preserve"> </t>
    </r>
    <r>
      <rPr>
        <sz val="10"/>
        <rFont val="Symbol"/>
        <family val="0"/>
      </rPr>
      <t xml:space="preserve">s </t>
    </r>
    <r>
      <rPr>
        <sz val="10"/>
        <rFont val="Verdana"/>
        <family val="0"/>
      </rPr>
      <t xml:space="preserve">=  </t>
    </r>
  </si>
  <si>
    <t>2</t>
  </si>
  <si>
    <t>f(v)</t>
  </si>
  <si>
    <t>p(v)</t>
  </si>
  <si>
    <t>vf(v)</t>
  </si>
  <si>
    <t>Upper limit</t>
  </si>
  <si>
    <t xml:space="preserve">M2: </t>
  </si>
  <si>
    <t xml:space="preserve">(M1-M2): </t>
  </si>
  <si>
    <t xml:space="preserve">Statistic </t>
  </si>
  <si>
    <t>CI center</t>
  </si>
  <si>
    <t>±</t>
  </si>
  <si>
    <t>Lower limit</t>
  </si>
  <si>
    <t xml:space="preserve">n2 = </t>
  </si>
  <si>
    <t xml:space="preserve">criterion z = </t>
  </si>
  <si>
    <t xml:space="preserve">criterion (M1-M2) = </t>
  </si>
  <si>
    <t>For power (the probability that you'll reject H0):</t>
  </si>
  <si>
    <t>minus infinity</t>
  </si>
  <si>
    <t xml:space="preserve">z2 = </t>
  </si>
  <si>
    <t xml:space="preserve">F(z2) = </t>
  </si>
  <si>
    <t xml:space="preserve">Power = </t>
  </si>
  <si>
    <t>This is the probabilty that you'll correctly reject H0</t>
  </si>
  <si>
    <t>This is the probabilty that you'll incorrectly fail to reject H0</t>
  </si>
  <si>
    <t>g-f</t>
  </si>
  <si>
    <t>3</t>
  </si>
  <si>
    <t>v</t>
  </si>
  <si>
    <t>p(v)</t>
  </si>
  <si>
    <t>&gt;5</t>
  </si>
  <si>
    <t>flips</t>
  </si>
  <si>
    <t xml:space="preserve">p(H) = </t>
  </si>
  <si>
    <t xml:space="preserve">p(T) = </t>
  </si>
  <si>
    <t xml:space="preserve">f(S) = </t>
  </si>
  <si>
    <t>f(v)</t>
  </si>
  <si>
    <t>4</t>
  </si>
  <si>
    <t>5</t>
  </si>
  <si>
    <t>a</t>
  </si>
  <si>
    <t>0.2 becomes</t>
  </si>
  <si>
    <t xml:space="preserve">q = </t>
  </si>
  <si>
    <t>PROBABILITIES</t>
  </si>
  <si>
    <t>a</t>
  </si>
  <si>
    <t>b</t>
  </si>
  <si>
    <t>Examples only:</t>
  </si>
  <si>
    <t>c</t>
  </si>
  <si>
    <t>d</t>
  </si>
  <si>
    <t>e</t>
  </si>
  <si>
    <t>a</t>
  </si>
  <si>
    <t>Scores:</t>
  </si>
  <si>
    <t>total number of badge codes =</t>
  </si>
  <si>
    <t>b</t>
  </si>
  <si>
    <t xml:space="preserve">number of no-A codes = </t>
  </si>
  <si>
    <t xml:space="preserve">p(no-A codes) = </t>
  </si>
  <si>
    <t xml:space="preserve">p(at least one A in the code) = </t>
  </si>
  <si>
    <t>4</t>
  </si>
  <si>
    <r>
      <t xml:space="preserve">s </t>
    </r>
    <r>
      <rPr>
        <sz val="10"/>
        <rFont val="Verdana"/>
        <family val="0"/>
      </rPr>
      <t xml:space="preserve">=  </t>
    </r>
  </si>
  <si>
    <r>
      <t>s</t>
    </r>
    <r>
      <rPr>
        <vertAlign val="superscript"/>
        <sz val="10"/>
        <rFont val="Verdana"/>
        <family val="0"/>
      </rPr>
      <t xml:space="preserve">2 </t>
    </r>
    <r>
      <rPr>
        <sz val="10"/>
        <rFont val="Verdana"/>
        <family val="0"/>
      </rPr>
      <t xml:space="preserve">=  </t>
    </r>
  </si>
  <si>
    <t>Sample mean, M</t>
  </si>
  <si>
    <t>2</t>
  </si>
  <si>
    <t xml:space="preserve">n2 = </t>
  </si>
  <si>
    <t xml:space="preserve">SS: </t>
  </si>
  <si>
    <t>(M1-M2)</t>
  </si>
  <si>
    <t>If H0 true, SS distributed with</t>
  </si>
  <si>
    <t xml:space="preserve">crit (M1-M2) = ± </t>
  </si>
  <si>
    <t xml:space="preserve">criteria z's = ± </t>
  </si>
  <si>
    <t>pounds</t>
  </si>
  <si>
    <t xml:space="preserve">p(.122 - .166) = </t>
  </si>
  <si>
    <t>(see f(v) column above</t>
  </si>
  <si>
    <t>0.0 stays</t>
  </si>
  <si>
    <t>A={all letter strings containing only letters A-E}</t>
  </si>
  <si>
    <t>b</t>
  </si>
  <si>
    <t>c</t>
  </si>
  <si>
    <t xml:space="preserve">percent confidence = </t>
  </si>
  <si>
    <t xml:space="preserve">M1: </t>
  </si>
  <si>
    <t>A={all letter strings that starts with A}</t>
  </si>
  <si>
    <t>d</t>
  </si>
  <si>
    <t>e</t>
  </si>
  <si>
    <t>probability</t>
  </si>
  <si>
    <t>g</t>
  </si>
  <si>
    <t>infinity</t>
  </si>
  <si>
    <t>h</t>
  </si>
  <si>
    <t xml:space="preserve">p(W = 323) = p(323 ≤ W≤ 323) = </t>
  </si>
  <si>
    <t xml:space="preserve">p(99 ≤ c ≤ 122) = </t>
  </si>
  <si>
    <t xml:space="preserve">p(99 &lt; c ≤ 122) = </t>
  </si>
  <si>
    <t xml:space="preserve">p(c &gt; 115) = </t>
  </si>
  <si>
    <t xml:space="preserve">p(320 ≤ W&lt; 330) = p(320 ≤ W≤ 329) = </t>
  </si>
  <si>
    <t>N</t>
  </si>
  <si>
    <t>not-N</t>
  </si>
  <si>
    <t>T</t>
  </si>
  <si>
    <t>not-T</t>
  </si>
  <si>
    <t xml:space="preserve">p(N and T) = </t>
  </si>
  <si>
    <t>means</t>
  </si>
  <si>
    <t>Probabilities</t>
  </si>
  <si>
    <t>Frequencies</t>
  </si>
  <si>
    <t>V ={0, 1, 2}</t>
  </si>
  <si>
    <t>v</t>
  </si>
  <si>
    <t xml:space="preserve">p(DH) = </t>
  </si>
  <si>
    <t xml:space="preserve">p(QH|DT) = </t>
  </si>
  <si>
    <t>b, c</t>
  </si>
  <si>
    <t>f(v)</t>
  </si>
  <si>
    <t xml:space="preserve">E(x) = </t>
  </si>
  <si>
    <t xml:space="preserve">variance = </t>
  </si>
  <si>
    <t xml:space="preserve">SD = </t>
  </si>
  <si>
    <r>
      <t>v</t>
    </r>
    <r>
      <rPr>
        <u val="single"/>
        <vertAlign val="superscript"/>
        <sz val="11"/>
        <rFont val="Verdana"/>
        <family val="0"/>
      </rPr>
      <t>2</t>
    </r>
  </si>
  <si>
    <t>Z1</t>
  </si>
  <si>
    <t>Z2</t>
  </si>
  <si>
    <t>F(Z1)</t>
  </si>
  <si>
    <t>F(Z2)</t>
  </si>
  <si>
    <t>p</t>
  </si>
  <si>
    <t>X1</t>
  </si>
  <si>
    <t>X2</t>
  </si>
  <si>
    <t>M1</t>
  </si>
  <si>
    <t>M2</t>
  </si>
  <si>
    <r>
      <t>m</t>
    </r>
    <r>
      <rPr>
        <sz val="11"/>
        <rFont val="Verdana"/>
        <family val="0"/>
      </rPr>
      <t xml:space="preserve"> = </t>
    </r>
  </si>
  <si>
    <r>
      <t>s</t>
    </r>
    <r>
      <rPr>
        <vertAlign val="superscript"/>
        <sz val="11"/>
        <rFont val="Symbol"/>
        <family val="0"/>
      </rPr>
      <t>2</t>
    </r>
    <r>
      <rPr>
        <sz val="11"/>
        <rFont val="Verdana"/>
        <family val="0"/>
      </rPr>
      <t xml:space="preserve"> = </t>
    </r>
  </si>
  <si>
    <r>
      <t>s</t>
    </r>
    <r>
      <rPr>
        <sz val="11"/>
        <rFont val="Verdana"/>
        <family val="0"/>
      </rPr>
      <t xml:space="preserve"> = </t>
    </r>
  </si>
  <si>
    <t>Ms. Palin is incorrect; rather, fewer than 60% of Alaskans want her to be the nominee. So they should fail to support her</t>
  </si>
  <si>
    <t>Assuming that Ms. Palin is correct in her claim, the probability that so few people would respond "for" in our survey is less than .05.</t>
  </si>
  <si>
    <t xml:space="preserve">mean =  </t>
  </si>
  <si>
    <t xml:space="preserve">mode =  </t>
  </si>
  <si>
    <t xml:space="preserve">median =  </t>
  </si>
  <si>
    <t>v = w-cost</t>
  </si>
  <si>
    <t>a-b)</t>
  </si>
  <si>
    <t>c)</t>
  </si>
  <si>
    <t xml:space="preserve">E(x) = </t>
  </si>
  <si>
    <t>They would be biased toward making a Type-I error; in other words, they'd like to reject Ms. Palin's claim even if it's correct. Therefore they'd be inclined to set alpha higher than the usual .05.</t>
  </si>
  <si>
    <t>b</t>
  </si>
  <si>
    <t>c</t>
  </si>
  <si>
    <t>reject H0</t>
  </si>
  <si>
    <t xml:space="preserve">If obtained (M1-M2) &gt; </t>
  </si>
  <si>
    <t>Otherwise fail to reject H0</t>
  </si>
  <si>
    <t xml:space="preserve">M1 = </t>
  </si>
  <si>
    <t xml:space="preserve">M2 = </t>
  </si>
  <si>
    <t xml:space="preserve">(M1-M2) = </t>
  </si>
  <si>
    <t xml:space="preserve">μ = </t>
  </si>
  <si>
    <t xml:space="preserve">μ(M1-M2) = </t>
  </si>
  <si>
    <t xml:space="preserve">(μ2 - μ1) = </t>
  </si>
  <si>
    <t xml:space="preserve">σ = </t>
  </si>
  <si>
    <t xml:space="preserve">σ(M1-M2) = </t>
  </si>
  <si>
    <t xml:space="preserve">σM1 = </t>
  </si>
  <si>
    <t xml:space="preserve">σM2 = </t>
  </si>
  <si>
    <t>σ</t>
  </si>
  <si>
    <t>σSqM</t>
  </si>
  <si>
    <r>
      <t>σ</t>
    </r>
    <r>
      <rPr>
        <vertAlign val="subscript"/>
        <sz val="11"/>
        <rFont val="Verdana"/>
        <family val="0"/>
      </rPr>
      <t>M</t>
    </r>
    <r>
      <rPr>
        <sz val="11"/>
        <rFont val="Verdana"/>
        <family val="0"/>
      </rPr>
      <t xml:space="preserve"> = </t>
    </r>
  </si>
  <si>
    <r>
      <t>H0: μ</t>
    </r>
    <r>
      <rPr>
        <vertAlign val="subscript"/>
        <sz val="11"/>
        <rFont val="Verdana"/>
        <family val="0"/>
      </rPr>
      <t>P</t>
    </r>
    <r>
      <rPr>
        <sz val="11"/>
        <rFont val="Verdana"/>
        <family val="0"/>
      </rPr>
      <t xml:space="preserve"> = </t>
    </r>
  </si>
  <si>
    <r>
      <t>H1:μ</t>
    </r>
    <r>
      <rPr>
        <vertAlign val="subscript"/>
        <sz val="11"/>
        <rFont val="Verdana"/>
        <family val="0"/>
      </rPr>
      <t>P</t>
    </r>
    <r>
      <rPr>
        <sz val="11"/>
        <rFont val="Verdana"/>
        <family val="0"/>
      </rPr>
      <t xml:space="preserve"> = </t>
    </r>
  </si>
  <si>
    <t xml:space="preserve">α = </t>
  </si>
  <si>
    <t xml:space="preserve">z1 = </t>
  </si>
  <si>
    <t xml:space="preserve">F(z1) = </t>
  </si>
  <si>
    <t xml:space="preserve">β = </t>
  </si>
  <si>
    <t>H0: (μ1 - μ2) = 0</t>
  </si>
  <si>
    <t>H1:(μ1 - μ2) ≠ 0</t>
  </si>
  <si>
    <r>
      <t>α</t>
    </r>
    <r>
      <rPr>
        <sz val="11"/>
        <rFont val="Verdana"/>
        <family val="0"/>
      </rPr>
      <t xml:space="preserve"> = </t>
    </r>
  </si>
  <si>
    <t xml:space="preserve">n1 = </t>
  </si>
  <si>
    <t>CI = M ±</t>
  </si>
  <si>
    <t xml:space="preserve">n1 = </t>
  </si>
  <si>
    <r>
      <t>F(z</t>
    </r>
    <r>
      <rPr>
        <u val="single"/>
        <vertAlign val="subscript"/>
        <sz val="11"/>
        <rFont val="Verdana"/>
        <family val="0"/>
      </rPr>
      <t>1</t>
    </r>
    <r>
      <rPr>
        <u val="single"/>
        <sz val="11"/>
        <rFont val="Verdana"/>
        <family val="0"/>
      </rPr>
      <t>)</t>
    </r>
  </si>
  <si>
    <r>
      <t>F(z</t>
    </r>
    <r>
      <rPr>
        <u val="single"/>
        <vertAlign val="subscript"/>
        <sz val="11"/>
        <rFont val="Verdana"/>
        <family val="0"/>
      </rPr>
      <t>2</t>
    </r>
    <r>
      <rPr>
        <u val="single"/>
        <sz val="11"/>
        <rFont val="Verdana"/>
        <family val="0"/>
      </rPr>
      <t>)</t>
    </r>
  </si>
  <si>
    <t>e</t>
  </si>
  <si>
    <t>i</t>
  </si>
  <si>
    <t>Only part (h) would change: Answer would be  1.12437 meters</t>
  </si>
  <si>
    <t>1</t>
  </si>
  <si>
    <t xml:space="preserve">s = </t>
  </si>
  <si>
    <t>Statistic</t>
  </si>
  <si>
    <t>MP</t>
  </si>
  <si>
    <t>MB</t>
  </si>
  <si>
    <t>(MP-MB)</t>
  </si>
  <si>
    <t>criterion z</t>
  </si>
  <si>
    <t>Fail to reject H0</t>
  </si>
  <si>
    <t>CI magnitude</t>
  </si>
  <si>
    <t>CI lower limit</t>
  </si>
  <si>
    <t>CI upper limit</t>
  </si>
  <si>
    <t>b</t>
  </si>
  <si>
    <r>
      <t>m</t>
    </r>
    <r>
      <rPr>
        <sz val="11"/>
        <rFont val="Verdana"/>
        <family val="0"/>
      </rPr>
      <t xml:space="preserve">P = </t>
    </r>
  </si>
  <si>
    <r>
      <t>m</t>
    </r>
    <r>
      <rPr>
        <sz val="11"/>
        <rFont val="Verdana"/>
        <family val="0"/>
      </rPr>
      <t xml:space="preserve">B = </t>
    </r>
  </si>
  <si>
    <r>
      <t>(m</t>
    </r>
    <r>
      <rPr>
        <sz val="11"/>
        <rFont val="Verdana"/>
        <family val="0"/>
      </rPr>
      <t xml:space="preserve">P - </t>
    </r>
    <r>
      <rPr>
        <sz val="11"/>
        <rFont val="Symbol"/>
        <family val="0"/>
      </rPr>
      <t>m</t>
    </r>
    <r>
      <rPr>
        <sz val="11"/>
        <rFont val="Verdana"/>
        <family val="0"/>
      </rPr>
      <t xml:space="preserve">B) = </t>
    </r>
  </si>
  <si>
    <t>If H1 true, SS distributed with,</t>
  </si>
  <si>
    <r>
      <t xml:space="preserve">For </t>
    </r>
    <r>
      <rPr>
        <sz val="11"/>
        <rFont val="Symbol"/>
        <family val="0"/>
      </rPr>
      <t>b</t>
    </r>
    <r>
      <rPr>
        <sz val="11"/>
        <rFont val="Verdana"/>
        <family val="0"/>
      </rPr>
      <t>:</t>
    </r>
  </si>
  <si>
    <t>-infinity</t>
  </si>
  <si>
    <r>
      <t>Power = (1-</t>
    </r>
    <r>
      <rPr>
        <sz val="11"/>
        <rFont val="Symbol"/>
        <family val="0"/>
      </rPr>
      <t>b</t>
    </r>
    <r>
      <rPr>
        <sz val="11"/>
        <rFont val="Verdana"/>
        <family val="0"/>
      </rPr>
      <t xml:space="preserve">) = </t>
    </r>
  </si>
  <si>
    <t>6</t>
  </si>
  <si>
    <t>Wingspan (mm)</t>
  </si>
  <si>
    <t>Baby Wazuwasp</t>
  </si>
  <si>
    <r>
      <t>Sum X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 xml:space="preserve"> = </t>
    </r>
  </si>
  <si>
    <t xml:space="preserve">Sum X = </t>
  </si>
  <si>
    <t xml:space="preserve">S2 = </t>
  </si>
  <si>
    <t xml:space="preserve">S = </t>
  </si>
  <si>
    <r>
      <t xml:space="preserve"> est </t>
    </r>
    <r>
      <rPr>
        <sz val="11"/>
        <rFont val="Symbol"/>
        <family val="0"/>
      </rPr>
      <t>m</t>
    </r>
    <r>
      <rPr>
        <sz val="11"/>
        <rFont val="Verdana"/>
        <family val="0"/>
      </rPr>
      <t xml:space="preserve"> = </t>
    </r>
  </si>
  <si>
    <r>
      <t xml:space="preserve"> est </t>
    </r>
    <r>
      <rPr>
        <sz val="11"/>
        <rFont val="Symbol"/>
        <family val="0"/>
      </rPr>
      <t>s</t>
    </r>
    <r>
      <rPr>
        <sz val="11"/>
        <rFont val="Verdana"/>
        <family val="0"/>
      </rPr>
      <t xml:space="preserve"> = </t>
    </r>
  </si>
  <si>
    <r>
      <t xml:space="preserve"> est </t>
    </r>
    <r>
      <rPr>
        <sz val="11"/>
        <rFont val="Symbol"/>
        <family val="0"/>
      </rPr>
      <t>s</t>
    </r>
    <r>
      <rPr>
        <vertAlign val="superscript"/>
        <sz val="11"/>
        <rFont val="Symbol"/>
        <family val="0"/>
      </rPr>
      <t>2</t>
    </r>
    <r>
      <rPr>
        <sz val="11"/>
        <rFont val="Verdana"/>
        <family val="0"/>
      </rPr>
      <t xml:space="preserve"> = </t>
    </r>
  </si>
  <si>
    <t>c</t>
  </si>
  <si>
    <r>
      <t xml:space="preserve"> est </t>
    </r>
    <r>
      <rPr>
        <sz val="11"/>
        <rFont val="Symbol"/>
        <family val="0"/>
      </rPr>
      <t>m</t>
    </r>
    <r>
      <rPr>
        <vertAlign val="subscript"/>
        <sz val="11"/>
        <rFont val="Symbol"/>
        <family val="0"/>
      </rPr>
      <t>M</t>
    </r>
    <r>
      <rPr>
        <sz val="11"/>
        <rFont val="Verdana"/>
        <family val="0"/>
      </rPr>
      <t xml:space="preserve"> = </t>
    </r>
  </si>
  <si>
    <r>
      <t xml:space="preserve"> est </t>
    </r>
    <r>
      <rPr>
        <sz val="11"/>
        <rFont val="Symbol"/>
        <family val="0"/>
      </rPr>
      <t>s</t>
    </r>
    <r>
      <rPr>
        <vertAlign val="superscript"/>
        <sz val="11"/>
        <rFont val="Symbol"/>
        <family val="0"/>
      </rPr>
      <t>2</t>
    </r>
    <r>
      <rPr>
        <vertAlign val="subscript"/>
        <sz val="11"/>
        <rFont val="Symbol"/>
        <family val="0"/>
      </rPr>
      <t>M</t>
    </r>
    <r>
      <rPr>
        <sz val="11"/>
        <rFont val="Verdana"/>
        <family val="0"/>
      </rPr>
      <t xml:space="preserve"> = </t>
    </r>
  </si>
  <si>
    <r>
      <t xml:space="preserve"> est </t>
    </r>
    <r>
      <rPr>
        <sz val="11"/>
        <rFont val="Symbol"/>
        <family val="0"/>
      </rPr>
      <t>s</t>
    </r>
    <r>
      <rPr>
        <vertAlign val="subscript"/>
        <sz val="11"/>
        <rFont val="Symbol"/>
        <family val="0"/>
      </rPr>
      <t>M</t>
    </r>
    <r>
      <rPr>
        <sz val="11"/>
        <rFont val="Verdana"/>
        <family val="0"/>
      </rPr>
      <t xml:space="preserve"> = </t>
    </r>
  </si>
  <si>
    <r>
      <t>s</t>
    </r>
    <r>
      <rPr>
        <vertAlign val="subscript"/>
        <sz val="11"/>
        <rFont val="Verdana"/>
        <family val="0"/>
      </rPr>
      <t>M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 xml:space="preserve"> = </t>
    </r>
  </si>
  <si>
    <r>
      <t>s</t>
    </r>
    <r>
      <rPr>
        <vertAlign val="subscript"/>
        <sz val="11"/>
        <rFont val="Verdana"/>
        <family val="0"/>
      </rPr>
      <t>M</t>
    </r>
    <r>
      <rPr>
        <sz val="11"/>
        <rFont val="Verdana"/>
        <family val="0"/>
      </rPr>
      <t xml:space="preserve"> = </t>
    </r>
  </si>
  <si>
    <t xml:space="preserve">n = </t>
  </si>
  <si>
    <t xml:space="preserve">p = </t>
  </si>
  <si>
    <t>To find: p(0 ≤ X &lt;9) = p(0 ≤ X ≤ 8):</t>
  </si>
  <si>
    <t>4</t>
  </si>
  <si>
    <t>5</t>
  </si>
  <si>
    <t xml:space="preserve">nB = </t>
  </si>
  <si>
    <t xml:space="preserve">nP = </t>
  </si>
  <si>
    <t xml:space="preserve">MB = </t>
  </si>
  <si>
    <t xml:space="preserve">MP = </t>
  </si>
  <si>
    <r>
      <t>a</t>
    </r>
    <r>
      <rPr>
        <sz val="11"/>
        <rFont val="Verdana"/>
        <family val="0"/>
      </rPr>
      <t xml:space="preserve"> = </t>
    </r>
  </si>
  <si>
    <t xml:space="preserve">H0: </t>
  </si>
  <si>
    <r>
      <t>m</t>
    </r>
    <r>
      <rPr>
        <sz val="11"/>
        <rFont val="Verdana"/>
        <family val="0"/>
      </rPr>
      <t xml:space="preserve">P = </t>
    </r>
    <r>
      <rPr>
        <sz val="11"/>
        <rFont val="Symbol"/>
        <family val="0"/>
      </rPr>
      <t>m</t>
    </r>
    <r>
      <rPr>
        <sz val="11"/>
        <rFont val="Verdana"/>
        <family val="0"/>
      </rPr>
      <t>B</t>
    </r>
  </si>
  <si>
    <t xml:space="preserve">H1: </t>
  </si>
  <si>
    <r>
      <t>m</t>
    </r>
    <r>
      <rPr>
        <sz val="11"/>
        <rFont val="Verdana"/>
        <family val="0"/>
      </rPr>
      <t xml:space="preserve">P &gt; </t>
    </r>
    <r>
      <rPr>
        <sz val="11"/>
        <rFont val="Symbol"/>
        <family val="0"/>
      </rPr>
      <t>m</t>
    </r>
    <r>
      <rPr>
        <sz val="11"/>
        <rFont val="Verdana"/>
        <family val="0"/>
      </rPr>
      <t>B</t>
    </r>
  </si>
  <si>
    <t xml:space="preserve">Summary score = </t>
  </si>
  <si>
    <t>If H0 true, SS distributed with,</t>
  </si>
  <si>
    <r>
      <t>s</t>
    </r>
    <r>
      <rPr>
        <vertAlign val="superscript"/>
        <sz val="11"/>
        <rFont val="Symbol"/>
        <family val="0"/>
      </rPr>
      <t>2</t>
    </r>
    <r>
      <rPr>
        <sz val="11"/>
        <rFont val="Verdana"/>
        <family val="0"/>
      </rPr>
      <t xml:space="preserve">(MP-MB) = </t>
    </r>
  </si>
  <si>
    <r>
      <t>s</t>
    </r>
    <r>
      <rPr>
        <sz val="11"/>
        <rFont val="Verdana"/>
        <family val="0"/>
      </rPr>
      <t xml:space="preserve">(MP-MB) = </t>
    </r>
  </si>
  <si>
    <t xml:space="preserve">Criterion z = </t>
  </si>
  <si>
    <t xml:space="preserve">Crit (MP-MB) = </t>
  </si>
  <si>
    <t xml:space="preserve">Obtained (MP-MB) = </t>
  </si>
  <si>
    <t xml:space="preserve">Confidence level: </t>
  </si>
  <si>
    <t xml:space="preserve">Criteria z's: </t>
  </si>
  <si>
    <t>CI center</t>
  </si>
  <si>
    <t>relevant std. error</t>
  </si>
  <si>
    <t>Rainfall is limited by zero cm (or meters). Therefore, p(c &lt; 0) = 0, even though that's not technically true if you calculated probabilities using the equation</t>
  </si>
  <si>
    <t xml:space="preserve">H0: Ms. Palin is right means, p = </t>
  </si>
  <si>
    <t xml:space="preserve">H1 Ms. Palin is wrong means p &lt; </t>
  </si>
  <si>
    <t xml:space="preserve">If Ho correct distribution of SS is: </t>
  </si>
  <si>
    <t>So as indicated by the distribution above...</t>
  </si>
  <si>
    <t>Frequencies (Given)</t>
  </si>
  <si>
    <t>Independent: Freqs</t>
  </si>
  <si>
    <t>Mutually exclusive</t>
  </si>
  <si>
    <t xml:space="preserve">p(N|T) =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</si>
</sst>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m/d/yyyy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* #,##0.0_);_(* \(#,##0.0\);_(* &quot;-&quot;??_);_(@_)"/>
    <numFmt numFmtId="182" formatCode="#,##0.000"/>
    <numFmt numFmtId="183" formatCode="#,##0.00"/>
    <numFmt numFmtId="184" formatCode="#,##0.0"/>
    <numFmt numFmtId="185" formatCode="#,##0"/>
    <numFmt numFmtId="186" formatCode="#,##0.0000"/>
    <numFmt numFmtId="187" formatCode="#,##0.00000"/>
    <numFmt numFmtId="188" formatCode="#,##0"/>
    <numFmt numFmtId="189" formatCode="#,##0"/>
    <numFmt numFmtId="190" formatCode="#,##0.0000"/>
  </numFmts>
  <fonts count="2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1"/>
      <name val="Times"/>
      <family val="0"/>
    </font>
    <font>
      <sz val="10"/>
      <name val="Arial"/>
      <family val="0"/>
    </font>
    <font>
      <vertAlign val="superscript"/>
      <sz val="10"/>
      <name val="Verdana"/>
      <family val="0"/>
    </font>
    <font>
      <sz val="10"/>
      <name val="Symbol"/>
      <family val="0"/>
    </font>
    <font>
      <sz val="10"/>
      <name val="Times"/>
      <family val="0"/>
    </font>
    <font>
      <sz val="11"/>
      <name val="Verdana"/>
      <family val="0"/>
    </font>
    <font>
      <sz val="11"/>
      <name val="Symbol"/>
      <family val="0"/>
    </font>
    <font>
      <vertAlign val="superscript"/>
      <sz val="11"/>
      <name val="Symbol"/>
      <family val="0"/>
    </font>
    <font>
      <u val="single"/>
      <sz val="11"/>
      <name val="Verdana"/>
      <family val="0"/>
    </font>
    <font>
      <u val="single"/>
      <vertAlign val="subscript"/>
      <sz val="11"/>
      <name val="Verdana"/>
      <family val="0"/>
    </font>
    <font>
      <vertAlign val="subscript"/>
      <sz val="11"/>
      <name val="Verdana"/>
      <family val="0"/>
    </font>
    <font>
      <u val="single"/>
      <vertAlign val="superscript"/>
      <sz val="11"/>
      <name val="Verdana"/>
      <family val="0"/>
    </font>
    <font>
      <vertAlign val="subscript"/>
      <sz val="11"/>
      <name val="Symbol"/>
      <family val="0"/>
    </font>
    <font>
      <vertAlign val="superscript"/>
      <sz val="11"/>
      <name val="Verdana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5">
    <xf numFmtId="4" fontId="0" fillId="0" borderId="0" xfId="0" applyAlignment="1">
      <alignment/>
    </xf>
    <xf numFmtId="16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 horizontal="left"/>
    </xf>
    <xf numFmtId="4" fontId="7" fillId="0" borderId="0" xfId="0" applyFont="1" applyBorder="1" applyAlignment="1">
      <alignment/>
    </xf>
    <xf numFmtId="3" fontId="0" fillId="0" borderId="1" xfId="0" applyNumberFormat="1" applyBorder="1" applyAlignment="1">
      <alignment horizontal="right"/>
    </xf>
    <xf numFmtId="172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72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72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 horizontal="left"/>
    </xf>
    <xf numFmtId="3" fontId="0" fillId="0" borderId="18" xfId="0" applyNumberFormat="1" applyBorder="1" applyAlignment="1">
      <alignment horizontal="right"/>
    </xf>
    <xf numFmtId="172" fontId="0" fillId="0" borderId="13" xfId="0" applyNumberForma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72" fontId="0" fillId="0" borderId="5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20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172" fontId="0" fillId="0" borderId="19" xfId="0" applyNumberFormat="1" applyBorder="1" applyAlignment="1">
      <alignment horizontal="left"/>
    </xf>
    <xf numFmtId="172" fontId="0" fillId="0" borderId="20" xfId="0" applyNumberFormat="1" applyBorder="1" applyAlignment="1">
      <alignment horizontal="left"/>
    </xf>
    <xf numFmtId="172" fontId="0" fillId="0" borderId="21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righ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4" fontId="7" fillId="0" borderId="8" xfId="0" applyFont="1" applyBorder="1" applyAlignment="1">
      <alignment/>
    </xf>
    <xf numFmtId="4" fontId="7" fillId="0" borderId="13" xfId="0" applyFont="1" applyBorder="1" applyAlignment="1">
      <alignment/>
    </xf>
    <xf numFmtId="4" fontId="7" fillId="0" borderId="11" xfId="0" applyFont="1" applyBorder="1" applyAlignment="1">
      <alignment/>
    </xf>
    <xf numFmtId="4" fontId="7" fillId="0" borderId="12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9" xfId="0" applyNumberFormat="1" applyBorder="1" applyAlignment="1">
      <alignment/>
    </xf>
    <xf numFmtId="4" fontId="0" fillId="0" borderId="0" xfId="0" applyAlignment="1">
      <alignment horizontal="left"/>
    </xf>
    <xf numFmtId="4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4" fontId="0" fillId="0" borderId="25" xfId="0" applyBorder="1" applyAlignment="1">
      <alignment/>
    </xf>
    <xf numFmtId="4" fontId="0" fillId="0" borderId="1" xfId="0" applyNumberForma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25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4" fontId="0" fillId="0" borderId="0" xfId="0" applyAlignment="1">
      <alignment horizontal="right"/>
    </xf>
    <xf numFmtId="4" fontId="0" fillId="0" borderId="0" xfId="0" applyAlignment="1" quotePrefix="1">
      <alignment horizontal="left"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1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/>
    </xf>
    <xf numFmtId="172" fontId="0" fillId="0" borderId="2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4" fontId="0" fillId="0" borderId="11" xfId="0" applyBorder="1" applyAlignment="1">
      <alignment/>
    </xf>
    <xf numFmtId="4" fontId="0" fillId="0" borderId="12" xfId="0" applyBorder="1" applyAlignment="1">
      <alignment/>
    </xf>
    <xf numFmtId="172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4" fontId="0" fillId="0" borderId="31" xfId="0" applyBorder="1" applyAlignment="1">
      <alignment horizontal="center"/>
    </xf>
    <xf numFmtId="4" fontId="0" fillId="0" borderId="32" xfId="0" applyBorder="1" applyAlignment="1">
      <alignment horizontal="right"/>
    </xf>
    <xf numFmtId="3" fontId="0" fillId="0" borderId="1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0" borderId="33" xfId="0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4" fontId="0" fillId="0" borderId="16" xfId="0" applyBorder="1" applyAlignment="1">
      <alignment horizontal="left"/>
    </xf>
    <xf numFmtId="4" fontId="0" fillId="0" borderId="18" xfId="0" applyBorder="1" applyAlignment="1">
      <alignment horizontal="center"/>
    </xf>
    <xf numFmtId="174" fontId="0" fillId="0" borderId="15" xfId="0" applyNumberFormat="1" applyBorder="1" applyAlignment="1">
      <alignment horizontal="right"/>
    </xf>
    <xf numFmtId="174" fontId="0" fillId="0" borderId="13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172" fontId="0" fillId="0" borderId="18" xfId="0" applyNumberFormat="1" applyBorder="1" applyAlignment="1">
      <alignment horizontal="left"/>
    </xf>
    <xf numFmtId="172" fontId="0" fillId="0" borderId="21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172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left"/>
    </xf>
    <xf numFmtId="172" fontId="0" fillId="0" borderId="9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4" fontId="0" fillId="0" borderId="0" xfId="0" applyBorder="1" applyAlignment="1" quotePrefix="1">
      <alignment horizontal="left"/>
    </xf>
    <xf numFmtId="172" fontId="0" fillId="0" borderId="0" xfId="0" applyNumberFormat="1" applyBorder="1" applyAlignment="1">
      <alignment/>
    </xf>
    <xf numFmtId="4" fontId="0" fillId="0" borderId="0" xfId="0" applyBorder="1" applyAlignment="1">
      <alignment/>
    </xf>
    <xf numFmtId="4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left"/>
    </xf>
    <xf numFmtId="4" fontId="0" fillId="0" borderId="0" xfId="0" applyBorder="1" applyAlignment="1">
      <alignment horizontal="left"/>
    </xf>
    <xf numFmtId="3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172" fontId="0" fillId="0" borderId="22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10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174" fontId="0" fillId="0" borderId="25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 quotePrefix="1">
      <alignment/>
    </xf>
    <xf numFmtId="172" fontId="0" fillId="0" borderId="25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172" fontId="0" fillId="0" borderId="17" xfId="0" applyNumberFormat="1" applyFont="1" applyBorder="1" applyAlignment="1">
      <alignment horizontal="right"/>
    </xf>
    <xf numFmtId="172" fontId="0" fillId="0" borderId="17" xfId="0" applyNumberFormat="1" applyFont="1" applyBorder="1" applyAlignment="1">
      <alignment horizontal="left"/>
    </xf>
    <xf numFmtId="172" fontId="0" fillId="0" borderId="17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72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left"/>
    </xf>
    <xf numFmtId="3" fontId="0" fillId="0" borderId="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3" fontId="0" fillId="0" borderId="16" xfId="0" applyNumberFormat="1" applyFon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4" fontId="0" fillId="0" borderId="17" xfId="0" applyBorder="1" applyAlignment="1">
      <alignment horizontal="right"/>
    </xf>
    <xf numFmtId="3" fontId="0" fillId="0" borderId="18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0" fillId="0" borderId="18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8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72" fontId="0" fillId="0" borderId="16" xfId="0" applyNumberFormat="1" applyBorder="1" applyAlignment="1">
      <alignment wrapText="1"/>
    </xf>
    <xf numFmtId="172" fontId="0" fillId="0" borderId="18" xfId="0" applyNumberFormat="1" applyBorder="1" applyAlignment="1">
      <alignment horizontal="left"/>
    </xf>
    <xf numFmtId="172" fontId="0" fillId="0" borderId="10" xfId="0" applyNumberFormat="1" applyBorder="1" applyAlignment="1">
      <alignment horizontal="right"/>
    </xf>
    <xf numFmtId="172" fontId="0" fillId="0" borderId="12" xfId="0" applyNumberFormat="1" applyBorder="1" applyAlignment="1">
      <alignment horizontal="left"/>
    </xf>
    <xf numFmtId="172" fontId="0" fillId="0" borderId="14" xfId="0" applyNumberFormat="1" applyBorder="1" applyAlignment="1">
      <alignment horizontal="right"/>
    </xf>
    <xf numFmtId="172" fontId="0" fillId="0" borderId="15" xfId="0" applyNumberFormat="1" applyBorder="1" applyAlignment="1">
      <alignment horizontal="left"/>
    </xf>
    <xf numFmtId="172" fontId="0" fillId="0" borderId="9" xfId="0" applyNumberFormat="1" applyBorder="1" applyAlignment="1">
      <alignment horizontal="right"/>
    </xf>
    <xf numFmtId="172" fontId="0" fillId="0" borderId="13" xfId="0" applyNumberFormat="1" applyBorder="1" applyAlignment="1">
      <alignment horizontal="left"/>
    </xf>
    <xf numFmtId="4" fontId="12" fillId="0" borderId="0" xfId="0" applyFont="1" applyAlignment="1">
      <alignment horizontal="right"/>
    </xf>
    <xf numFmtId="4" fontId="12" fillId="0" borderId="0" xfId="0" applyFont="1" applyBorder="1" applyAlignment="1" quotePrefix="1">
      <alignment horizontal="left"/>
    </xf>
    <xf numFmtId="172" fontId="12" fillId="0" borderId="0" xfId="0" applyNumberFormat="1" applyFont="1" applyBorder="1" applyAlignment="1">
      <alignment/>
    </xf>
    <xf numFmtId="4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Alignment="1">
      <alignment horizontal="center"/>
    </xf>
    <xf numFmtId="4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 quotePrefix="1">
      <alignment horizontal="right"/>
    </xf>
    <xf numFmtId="1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168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 quotePrefix="1">
      <alignment horizontal="left"/>
    </xf>
    <xf numFmtId="4" fontId="12" fillId="0" borderId="0" xfId="0" applyFont="1" applyBorder="1" applyAlignment="1">
      <alignment horizontal="right"/>
    </xf>
    <xf numFmtId="172" fontId="12" fillId="0" borderId="0" xfId="0" applyNumberFormat="1" applyFont="1" applyBorder="1" applyAlignment="1">
      <alignment horizontal="center"/>
    </xf>
    <xf numFmtId="4" fontId="12" fillId="0" borderId="0" xfId="0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72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right"/>
    </xf>
    <xf numFmtId="4" fontId="12" fillId="0" borderId="0" xfId="0" applyFont="1" applyBorder="1" applyAlignment="1" quotePrefix="1">
      <alignment horizontal="right"/>
    </xf>
    <xf numFmtId="3" fontId="12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left"/>
    </xf>
    <xf numFmtId="4" fontId="12" fillId="0" borderId="0" xfId="0" applyFont="1" applyBorder="1" applyAlignment="1">
      <alignment horizontal="left"/>
    </xf>
    <xf numFmtId="172" fontId="12" fillId="0" borderId="0" xfId="0" applyNumberFormat="1" applyFont="1" applyBorder="1" applyAlignment="1">
      <alignment wrapText="1"/>
    </xf>
    <xf numFmtId="172" fontId="12" fillId="0" borderId="21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left" vertical="top" wrapText="1"/>
    </xf>
    <xf numFmtId="3" fontId="12" fillId="0" borderId="16" xfId="0" applyNumberFormat="1" applyFont="1" applyBorder="1" applyAlignment="1">
      <alignment horizontal="left"/>
    </xf>
    <xf numFmtId="3" fontId="12" fillId="0" borderId="17" xfId="0" applyNumberFormat="1" applyFont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12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172" fontId="12" fillId="0" borderId="9" xfId="0" applyNumberFormat="1" applyFont="1" applyBorder="1" applyAlignment="1">
      <alignment horizontal="right"/>
    </xf>
    <xf numFmtId="172" fontId="12" fillId="0" borderId="8" xfId="0" applyNumberFormat="1" applyFont="1" applyBorder="1" applyAlignment="1">
      <alignment horizontal="left"/>
    </xf>
    <xf numFmtId="4" fontId="12" fillId="0" borderId="8" xfId="0" applyFont="1" applyBorder="1" applyAlignment="1">
      <alignment/>
    </xf>
    <xf numFmtId="4" fontId="12" fillId="0" borderId="13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left"/>
    </xf>
    <xf numFmtId="3" fontId="13" fillId="0" borderId="14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left"/>
    </xf>
    <xf numFmtId="3" fontId="13" fillId="0" borderId="9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left"/>
    </xf>
    <xf numFmtId="172" fontId="12" fillId="0" borderId="12" xfId="0" applyNumberFormat="1" applyFont="1" applyBorder="1" applyAlignment="1">
      <alignment horizontal="left"/>
    </xf>
    <xf numFmtId="172" fontId="12" fillId="0" borderId="15" xfId="0" applyNumberFormat="1" applyFont="1" applyBorder="1" applyAlignment="1">
      <alignment horizontal="left"/>
    </xf>
    <xf numFmtId="173" fontId="12" fillId="0" borderId="15" xfId="0" applyNumberFormat="1" applyFont="1" applyBorder="1" applyAlignment="1">
      <alignment horizontal="left"/>
    </xf>
    <xf numFmtId="172" fontId="12" fillId="0" borderId="14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left"/>
    </xf>
    <xf numFmtId="3" fontId="12" fillId="0" borderId="9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left"/>
    </xf>
    <xf numFmtId="171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right"/>
    </xf>
    <xf numFmtId="168" fontId="12" fillId="0" borderId="35" xfId="0" applyNumberFormat="1" applyFont="1" applyBorder="1" applyAlignment="1">
      <alignment horizontal="center"/>
    </xf>
    <xf numFmtId="168" fontId="12" fillId="0" borderId="36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4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quotePrefix="1">
      <alignment/>
    </xf>
    <xf numFmtId="1" fontId="12" fillId="0" borderId="0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4" fontId="12" fillId="0" borderId="0" xfId="0" applyFont="1" applyBorder="1" applyAlignment="1">
      <alignment vertical="top"/>
    </xf>
    <xf numFmtId="3" fontId="12" fillId="0" borderId="0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71" fontId="12" fillId="0" borderId="0" xfId="0" applyNumberFormat="1" applyFont="1" applyBorder="1" applyAlignment="1">
      <alignment vertical="top"/>
    </xf>
    <xf numFmtId="171" fontId="12" fillId="0" borderId="0" xfId="0" applyNumberFormat="1" applyFont="1" applyBorder="1" applyAlignment="1">
      <alignment horizontal="left" vertical="top"/>
    </xf>
    <xf numFmtId="172" fontId="12" fillId="0" borderId="0" xfId="0" applyNumberFormat="1" applyFont="1" applyBorder="1" applyAlignment="1">
      <alignment vertical="top"/>
    </xf>
    <xf numFmtId="171" fontId="12" fillId="0" borderId="0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 vertical="top"/>
    </xf>
    <xf numFmtId="3" fontId="12" fillId="0" borderId="0" xfId="0" applyNumberFormat="1" applyFont="1" applyBorder="1" applyAlignment="1">
      <alignment horizontal="left" vertical="top"/>
    </xf>
    <xf numFmtId="3" fontId="12" fillId="0" borderId="0" xfId="0" applyNumberFormat="1" applyFont="1" applyBorder="1" applyAlignment="1">
      <alignment horizontal="left" vertical="top"/>
    </xf>
    <xf numFmtId="172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 quotePrefix="1">
      <alignment horizontal="left" vertical="top"/>
    </xf>
    <xf numFmtId="3" fontId="12" fillId="0" borderId="0" xfId="0" applyNumberFormat="1" applyFont="1" applyBorder="1" applyAlignment="1">
      <alignment horizontal="left"/>
    </xf>
    <xf numFmtId="4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left" vertical="top"/>
    </xf>
    <xf numFmtId="172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left"/>
    </xf>
    <xf numFmtId="3" fontId="12" fillId="0" borderId="21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168" fontId="12" fillId="0" borderId="12" xfId="0" applyNumberFormat="1" applyFont="1" applyBorder="1" applyAlignment="1">
      <alignment/>
    </xf>
    <xf numFmtId="168" fontId="12" fillId="0" borderId="15" xfId="0" applyNumberFormat="1" applyFont="1" applyBorder="1" applyAlignment="1">
      <alignment/>
    </xf>
    <xf numFmtId="168" fontId="12" fillId="0" borderId="8" xfId="0" applyNumberFormat="1" applyFont="1" applyBorder="1" applyAlignment="1">
      <alignment/>
    </xf>
    <xf numFmtId="168" fontId="12" fillId="0" borderId="13" xfId="0" applyNumberFormat="1" applyFont="1" applyBorder="1" applyAlignment="1">
      <alignment/>
    </xf>
    <xf numFmtId="172" fontId="12" fillId="0" borderId="17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172" fontId="12" fillId="0" borderId="18" xfId="0" applyNumberFormat="1" applyFont="1" applyBorder="1" applyAlignment="1">
      <alignment/>
    </xf>
    <xf numFmtId="172" fontId="12" fillId="0" borderId="13" xfId="0" applyNumberFormat="1" applyFont="1" applyBorder="1" applyAlignment="1">
      <alignment horizontal="left"/>
    </xf>
    <xf numFmtId="3" fontId="12" fillId="0" borderId="37" xfId="0" applyNumberFormat="1" applyFont="1" applyBorder="1" applyAlignment="1">
      <alignment horizontal="right"/>
    </xf>
    <xf numFmtId="172" fontId="12" fillId="0" borderId="38" xfId="0" applyNumberFormat="1" applyFont="1" applyBorder="1" applyAlignment="1">
      <alignment horizontal="left"/>
    </xf>
    <xf numFmtId="172" fontId="12" fillId="0" borderId="39" xfId="0" applyNumberFormat="1" applyFont="1" applyBorder="1" applyAlignment="1">
      <alignment horizontal="left"/>
    </xf>
    <xf numFmtId="171" fontId="12" fillId="0" borderId="10" xfId="0" applyNumberFormat="1" applyFont="1" applyBorder="1" applyAlignment="1">
      <alignment horizontal="right" vertical="top"/>
    </xf>
    <xf numFmtId="172" fontId="12" fillId="0" borderId="11" xfId="0" applyNumberFormat="1" applyFont="1" applyBorder="1" applyAlignment="1">
      <alignment horizontal="left" vertical="top"/>
    </xf>
    <xf numFmtId="171" fontId="12" fillId="0" borderId="11" xfId="0" applyNumberFormat="1" applyFont="1" applyBorder="1" applyAlignment="1">
      <alignment horizontal="left" vertical="top"/>
    </xf>
    <xf numFmtId="171" fontId="12" fillId="0" borderId="12" xfId="0" applyNumberFormat="1" applyFont="1" applyBorder="1" applyAlignment="1">
      <alignment vertical="top"/>
    </xf>
    <xf numFmtId="3" fontId="12" fillId="0" borderId="8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right"/>
    </xf>
    <xf numFmtId="4" fontId="12" fillId="0" borderId="10" xfId="0" applyFont="1" applyBorder="1" applyAlignment="1">
      <alignment horizontal="right"/>
    </xf>
    <xf numFmtId="172" fontId="12" fillId="0" borderId="11" xfId="0" applyNumberFormat="1" applyFont="1" applyBorder="1" applyAlignment="1">
      <alignment horizontal="left"/>
    </xf>
    <xf numFmtId="172" fontId="12" fillId="0" borderId="12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172" fontId="12" fillId="0" borderId="9" xfId="0" applyNumberFormat="1" applyFont="1" applyBorder="1" applyAlignment="1">
      <alignment/>
    </xf>
    <xf numFmtId="172" fontId="12" fillId="0" borderId="8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4" fontId="12" fillId="0" borderId="16" xfId="0" applyFont="1" applyBorder="1" applyAlignment="1">
      <alignment horizontal="right"/>
    </xf>
    <xf numFmtId="172" fontId="12" fillId="0" borderId="17" xfId="0" applyNumberFormat="1" applyFont="1" applyBorder="1" applyAlignment="1">
      <alignment horizontal="center"/>
    </xf>
    <xf numFmtId="172" fontId="12" fillId="0" borderId="16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4" fontId="12" fillId="0" borderId="11" xfId="0" applyFont="1" applyBorder="1" applyAlignment="1">
      <alignment/>
    </xf>
    <xf numFmtId="4" fontId="12" fillId="0" borderId="12" xfId="0" applyFont="1" applyBorder="1" applyAlignment="1">
      <alignment/>
    </xf>
    <xf numFmtId="4" fontId="12" fillId="0" borderId="8" xfId="0" applyFont="1" applyBorder="1" applyAlignment="1">
      <alignment/>
    </xf>
    <xf numFmtId="4" fontId="12" fillId="0" borderId="13" xfId="0" applyFont="1" applyBorder="1" applyAlignment="1">
      <alignment/>
    </xf>
    <xf numFmtId="3" fontId="12" fillId="0" borderId="16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4" fontId="12" fillId="0" borderId="0" xfId="0" applyFont="1" applyBorder="1" applyAlignment="1">
      <alignment vertical="center"/>
    </xf>
    <xf numFmtId="172" fontId="12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left" vertical="center"/>
    </xf>
    <xf numFmtId="3" fontId="12" fillId="0" borderId="25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 quotePrefix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4" fontId="12" fillId="0" borderId="0" xfId="0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right" vertical="center"/>
    </xf>
    <xf numFmtId="4" fontId="12" fillId="0" borderId="0" xfId="0" applyFont="1" applyBorder="1" applyAlignment="1" quotePrefix="1">
      <alignment horizontal="right" vertical="center"/>
    </xf>
    <xf numFmtId="3" fontId="12" fillId="0" borderId="0" xfId="0" applyNumberFormat="1" applyFont="1" applyBorder="1" applyAlignment="1" quotePrefix="1">
      <alignment horizontal="left" vertical="center"/>
    </xf>
    <xf numFmtId="172" fontId="12" fillId="0" borderId="25" xfId="0" applyNumberFormat="1" applyFont="1" applyBorder="1" applyAlignment="1">
      <alignment horizontal="left" vertical="center"/>
    </xf>
    <xf numFmtId="172" fontId="12" fillId="0" borderId="0" xfId="0" applyNumberFormat="1" applyFont="1" applyBorder="1" applyAlignment="1">
      <alignment horizontal="left" vertical="center"/>
    </xf>
    <xf numFmtId="172" fontId="12" fillId="0" borderId="26" xfId="0" applyNumberFormat="1" applyFont="1" applyBorder="1" applyAlignment="1">
      <alignment horizontal="center" vertical="center"/>
    </xf>
    <xf numFmtId="172" fontId="12" fillId="0" borderId="1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left" vertical="center"/>
    </xf>
    <xf numFmtId="172" fontId="12" fillId="0" borderId="26" xfId="0" applyNumberFormat="1" applyFont="1" applyBorder="1" applyAlignment="1">
      <alignment horizontal="center" vertical="center"/>
    </xf>
    <xf numFmtId="172" fontId="12" fillId="0" borderId="26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8" fontId="12" fillId="0" borderId="1" xfId="0" applyNumberFormat="1" applyFont="1" applyBorder="1" applyAlignment="1">
      <alignment horizontal="center" vertical="center"/>
    </xf>
    <xf numFmtId="172" fontId="12" fillId="0" borderId="1" xfId="0" applyNumberFormat="1" applyFont="1" applyBorder="1" applyAlignment="1">
      <alignment horizontal="center" vertical="center"/>
    </xf>
    <xf numFmtId="172" fontId="12" fillId="0" borderId="25" xfId="0" applyNumberFormat="1" applyFont="1" applyBorder="1" applyAlignment="1">
      <alignment horizontal="left" vertical="center"/>
    </xf>
    <xf numFmtId="172" fontId="12" fillId="0" borderId="1" xfId="0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vertical="center"/>
    </xf>
    <xf numFmtId="172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left" vertical="center"/>
    </xf>
    <xf numFmtId="172" fontId="12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4" fontId="12" fillId="0" borderId="0" xfId="0" applyFont="1" applyBorder="1" applyAlignment="1" quotePrefix="1">
      <alignment horizontal="left" vertical="center"/>
    </xf>
    <xf numFmtId="172" fontId="13" fillId="0" borderId="0" xfId="0" applyNumberFormat="1" applyFont="1" applyBorder="1" applyAlignment="1">
      <alignment horizontal="right" vertical="center"/>
    </xf>
    <xf numFmtId="172" fontId="12" fillId="0" borderId="25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4" fontId="12" fillId="0" borderId="0" xfId="0" applyFont="1" applyBorder="1" applyAlignment="1">
      <alignment horizontal="left" vertical="center"/>
    </xf>
    <xf numFmtId="4" fontId="12" fillId="0" borderId="25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center"/>
    </xf>
    <xf numFmtId="172" fontId="12" fillId="0" borderId="0" xfId="0" applyNumberFormat="1" applyFont="1" applyBorder="1" applyAlignment="1">
      <alignment horizontal="left" vertical="center"/>
    </xf>
    <xf numFmtId="172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left" vertical="center"/>
    </xf>
    <xf numFmtId="172" fontId="12" fillId="0" borderId="0" xfId="0" applyNumberFormat="1" applyFont="1" applyBorder="1" applyAlignment="1" quotePrefix="1">
      <alignment horizontal="center" vertical="center"/>
    </xf>
    <xf numFmtId="3" fontId="12" fillId="0" borderId="0" xfId="0" applyNumberFormat="1" applyFont="1" applyBorder="1" applyAlignment="1">
      <alignment horizontal="left" vertical="center"/>
    </xf>
    <xf numFmtId="172" fontId="12" fillId="0" borderId="0" xfId="0" applyNumberFormat="1" applyFont="1" applyBorder="1" applyAlignment="1">
      <alignment horizontal="left" vertical="center"/>
    </xf>
    <xf numFmtId="9" fontId="12" fillId="0" borderId="0" xfId="21" applyFont="1" applyBorder="1" applyAlignment="1">
      <alignment horizontal="left" vertical="center"/>
    </xf>
    <xf numFmtId="4" fontId="12" fillId="0" borderId="0" xfId="0" applyFont="1" applyBorder="1" applyAlignment="1">
      <alignment horizontal="center" wrapText="1"/>
    </xf>
    <xf numFmtId="172" fontId="12" fillId="0" borderId="25" xfId="0" applyNumberFormat="1" applyFont="1" applyBorder="1" applyAlignment="1">
      <alignment horizontal="center" wrapText="1"/>
    </xf>
    <xf numFmtId="4" fontId="12" fillId="0" borderId="25" xfId="0" applyFont="1" applyBorder="1" applyAlignment="1">
      <alignment horizontal="center" wrapText="1"/>
    </xf>
    <xf numFmtId="172" fontId="12" fillId="0" borderId="25" xfId="0" applyNumberFormat="1" applyFont="1" applyBorder="1" applyAlignment="1">
      <alignment horizontal="right" wrapText="1"/>
    </xf>
    <xf numFmtId="172" fontId="12" fillId="0" borderId="0" xfId="0" applyNumberFormat="1" applyFont="1" applyBorder="1" applyAlignment="1">
      <alignment vertical="center"/>
    </xf>
    <xf numFmtId="172" fontId="12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left" vertical="center"/>
    </xf>
    <xf numFmtId="172" fontId="12" fillId="0" borderId="0" xfId="0" applyNumberFormat="1" applyFont="1" applyBorder="1" applyAlignment="1">
      <alignment vertical="center"/>
    </xf>
    <xf numFmtId="172" fontId="12" fillId="0" borderId="0" xfId="0" applyNumberFormat="1" applyFont="1" applyBorder="1" applyAlignment="1">
      <alignment horizontal="left" vertical="center"/>
    </xf>
    <xf numFmtId="4" fontId="12" fillId="0" borderId="0" xfId="0" applyFont="1" applyBorder="1" applyAlignment="1" quotePrefix="1">
      <alignment horizontal="center" vertical="center"/>
    </xf>
    <xf numFmtId="172" fontId="13" fillId="0" borderId="25" xfId="0" applyNumberFormat="1" applyFont="1" applyBorder="1" applyAlignment="1">
      <alignment horizontal="center" vertical="center"/>
    </xf>
    <xf numFmtId="4" fontId="12" fillId="0" borderId="8" xfId="0" applyFont="1" applyBorder="1" applyAlignment="1">
      <alignment horizontal="center" vertical="top" wrapText="1"/>
    </xf>
    <xf numFmtId="4" fontId="12" fillId="0" borderId="0" xfId="0" applyFont="1" applyAlignment="1">
      <alignment horizontal="center" vertical="top" wrapText="1"/>
    </xf>
    <xf numFmtId="3" fontId="12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top" wrapText="1"/>
    </xf>
    <xf numFmtId="172" fontId="12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left" vertical="center"/>
    </xf>
    <xf numFmtId="3" fontId="12" fillId="0" borderId="16" xfId="0" applyNumberFormat="1" applyFont="1" applyBorder="1" applyAlignment="1">
      <alignment horizontal="left" vertical="top" wrapText="1"/>
    </xf>
    <xf numFmtId="3" fontId="12" fillId="0" borderId="17" xfId="0" applyNumberFormat="1" applyFont="1" applyBorder="1" applyAlignment="1">
      <alignment horizontal="left" vertical="top" wrapText="1"/>
    </xf>
    <xf numFmtId="3" fontId="12" fillId="0" borderId="18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horizontal="center"/>
    </xf>
    <xf numFmtId="4" fontId="12" fillId="0" borderId="0" xfId="0" applyFont="1" applyBorder="1" applyAlignment="1">
      <alignment horizontal="center"/>
    </xf>
    <xf numFmtId="171" fontId="12" fillId="0" borderId="9" xfId="0" applyNumberFormat="1" applyFont="1" applyBorder="1" applyAlignment="1">
      <alignment horizontal="left" vertical="top" wrapText="1"/>
    </xf>
    <xf numFmtId="171" fontId="12" fillId="0" borderId="8" xfId="0" applyNumberFormat="1" applyFont="1" applyBorder="1" applyAlignment="1">
      <alignment horizontal="left" vertical="top" wrapText="1"/>
    </xf>
    <xf numFmtId="171" fontId="12" fillId="0" borderId="13" xfId="0" applyNumberFormat="1" applyFont="1" applyBorder="1" applyAlignment="1">
      <alignment horizontal="left" vertical="top" wrapText="1"/>
    </xf>
    <xf numFmtId="171" fontId="12" fillId="0" borderId="10" xfId="0" applyNumberFormat="1" applyFont="1" applyBorder="1" applyAlignment="1">
      <alignment horizontal="left" vertical="top" wrapText="1"/>
    </xf>
    <xf numFmtId="171" fontId="12" fillId="0" borderId="11" xfId="0" applyNumberFormat="1" applyFont="1" applyBorder="1" applyAlignment="1">
      <alignment horizontal="left" vertical="top" wrapText="1"/>
    </xf>
    <xf numFmtId="171" fontId="12" fillId="0" borderId="12" xfId="0" applyNumberFormat="1" applyFont="1" applyBorder="1" applyAlignment="1">
      <alignment horizontal="left" vertical="top" wrapText="1"/>
    </xf>
    <xf numFmtId="172" fontId="12" fillId="0" borderId="16" xfId="0" applyNumberFormat="1" applyFont="1" applyBorder="1" applyAlignment="1">
      <alignment horizontal="left" vertical="top" wrapText="1"/>
    </xf>
    <xf numFmtId="172" fontId="12" fillId="0" borderId="17" xfId="0" applyNumberFormat="1" applyFont="1" applyBorder="1" applyAlignment="1">
      <alignment horizontal="left" vertical="top" wrapText="1"/>
    </xf>
    <xf numFmtId="172" fontId="12" fillId="0" borderId="18" xfId="0" applyNumberFormat="1" applyFont="1" applyBorder="1" applyAlignment="1">
      <alignment horizontal="left" vertical="top" wrapText="1"/>
    </xf>
    <xf numFmtId="4" fontId="12" fillId="0" borderId="17" xfId="0" applyFont="1" applyBorder="1" applyAlignment="1">
      <alignment vertical="top" wrapText="1"/>
    </xf>
    <xf numFmtId="4" fontId="12" fillId="0" borderId="18" xfId="0" applyFont="1" applyBorder="1" applyAlignment="1">
      <alignment vertical="top" wrapText="1"/>
    </xf>
    <xf numFmtId="3" fontId="12" fillId="0" borderId="10" xfId="0" applyNumberFormat="1" applyFont="1" applyBorder="1" applyAlignment="1">
      <alignment horizontal="right" vertical="center"/>
    </xf>
    <xf numFmtId="3" fontId="12" fillId="0" borderId="40" xfId="0" applyNumberFormat="1" applyFont="1" applyBorder="1" applyAlignment="1">
      <alignment horizontal="right" vertical="center"/>
    </xf>
    <xf numFmtId="3" fontId="12" fillId="0" borderId="40" xfId="0" applyNumberFormat="1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left" vertical="center"/>
    </xf>
    <xf numFmtId="3" fontId="12" fillId="0" borderId="14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left" vertical="center"/>
    </xf>
    <xf numFmtId="3" fontId="12" fillId="0" borderId="9" xfId="0" applyNumberFormat="1" applyFont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 vertical="center"/>
    </xf>
    <xf numFmtId="3" fontId="12" fillId="0" borderId="3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left" vertical="center"/>
    </xf>
    <xf numFmtId="185" fontId="12" fillId="0" borderId="1" xfId="0" applyNumberFormat="1" applyFont="1" applyBorder="1" applyAlignment="1">
      <alignment horizontal="center" vertical="center"/>
    </xf>
    <xf numFmtId="172" fontId="12" fillId="0" borderId="14" xfId="0" applyNumberFormat="1" applyFont="1" applyBorder="1" applyAlignment="1">
      <alignment horizontal="right" vertical="center"/>
    </xf>
    <xf numFmtId="172" fontId="12" fillId="0" borderId="9" xfId="0" applyNumberFormat="1" applyFont="1" applyBorder="1" applyAlignment="1">
      <alignment horizontal="right" vertical="center"/>
    </xf>
    <xf numFmtId="171" fontId="12" fillId="0" borderId="10" xfId="0" applyNumberFormat="1" applyFont="1" applyBorder="1" applyAlignment="1">
      <alignment horizontal="right" vertical="center"/>
    </xf>
    <xf numFmtId="171" fontId="12" fillId="0" borderId="14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172" fontId="15" fillId="0" borderId="22" xfId="0" applyNumberFormat="1" applyFont="1" applyBorder="1" applyAlignment="1">
      <alignment horizontal="center" vertical="center"/>
    </xf>
    <xf numFmtId="172" fontId="12" fillId="0" borderId="23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172" fontId="12" fillId="0" borderId="12" xfId="0" applyNumberFormat="1" applyFont="1" applyBorder="1" applyAlignment="1">
      <alignment horizontal="left" vertical="center"/>
    </xf>
    <xf numFmtId="172" fontId="12" fillId="0" borderId="15" xfId="0" applyNumberFormat="1" applyFont="1" applyBorder="1" applyAlignment="1">
      <alignment horizontal="left" vertical="center"/>
    </xf>
    <xf numFmtId="172" fontId="12" fillId="0" borderId="13" xfId="0" applyNumberFormat="1" applyFont="1" applyBorder="1" applyAlignment="1">
      <alignment horizontal="left" vertical="center"/>
    </xf>
    <xf numFmtId="4" fontId="12" fillId="0" borderId="33" xfId="0" applyFont="1" applyBorder="1" applyAlignment="1">
      <alignment horizontal="center" vertical="center"/>
    </xf>
    <xf numFmtId="172" fontId="12" fillId="0" borderId="33" xfId="0" applyNumberFormat="1" applyFont="1" applyBorder="1" applyAlignment="1">
      <alignment horizontal="center" vertical="center"/>
    </xf>
    <xf numFmtId="172" fontId="13" fillId="0" borderId="12" xfId="0" applyNumberFormat="1" applyFont="1" applyBorder="1" applyAlignment="1">
      <alignment vertical="center"/>
    </xf>
    <xf numFmtId="172" fontId="13" fillId="0" borderId="15" xfId="0" applyNumberFormat="1" applyFont="1" applyBorder="1" applyAlignment="1">
      <alignment vertical="center"/>
    </xf>
    <xf numFmtId="172" fontId="12" fillId="0" borderId="15" xfId="0" applyNumberFormat="1" applyFont="1" applyBorder="1" applyAlignment="1">
      <alignment vertical="center"/>
    </xf>
    <xf numFmtId="172" fontId="12" fillId="0" borderId="14" xfId="0" applyNumberFormat="1" applyFont="1" applyBorder="1" applyAlignment="1">
      <alignment horizontal="left" vertical="center"/>
    </xf>
    <xf numFmtId="3" fontId="13" fillId="0" borderId="14" xfId="0" applyNumberFormat="1" applyFont="1" applyBorder="1" applyAlignment="1">
      <alignment horizontal="right" vertical="center"/>
    </xf>
    <xf numFmtId="172" fontId="13" fillId="0" borderId="14" xfId="0" applyNumberFormat="1" applyFont="1" applyBorder="1" applyAlignment="1">
      <alignment horizontal="right" vertical="center"/>
    </xf>
    <xf numFmtId="172" fontId="15" fillId="0" borderId="14" xfId="0" applyNumberFormat="1" applyFont="1" applyBorder="1" applyAlignment="1">
      <alignment horizontal="right" vertical="center"/>
    </xf>
    <xf numFmtId="172" fontId="15" fillId="0" borderId="15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4" fontId="12" fillId="0" borderId="33" xfId="0" applyFont="1" applyBorder="1" applyAlignment="1">
      <alignment horizontal="center" wrapText="1"/>
    </xf>
    <xf numFmtId="172" fontId="12" fillId="0" borderId="16" xfId="0" applyNumberFormat="1" applyFont="1" applyBorder="1" applyAlignment="1">
      <alignment horizontal="right" vertical="center"/>
    </xf>
    <xf numFmtId="172" fontId="12" fillId="0" borderId="18" xfId="0" applyNumberFormat="1" applyFont="1" applyBorder="1" applyAlignment="1">
      <alignment horizontal="left" vertical="center"/>
    </xf>
    <xf numFmtId="172" fontId="12" fillId="0" borderId="10" xfId="0" applyNumberFormat="1" applyFont="1" applyBorder="1" applyAlignment="1">
      <alignment horizontal="right" vertical="center"/>
    </xf>
    <xf numFmtId="173" fontId="12" fillId="0" borderId="23" xfId="0" applyNumberFormat="1" applyFont="1" applyBorder="1" applyAlignment="1">
      <alignment horizontal="center" vertical="center"/>
    </xf>
    <xf numFmtId="173" fontId="12" fillId="0" borderId="24" xfId="0" applyNumberFormat="1" applyFont="1" applyBorder="1" applyAlignment="1">
      <alignment horizontal="center" vertical="center"/>
    </xf>
    <xf numFmtId="185" fontId="12" fillId="0" borderId="23" xfId="0" applyNumberFormat="1" applyFont="1" applyBorder="1" applyAlignment="1">
      <alignment horizontal="center" vertical="center"/>
    </xf>
    <xf numFmtId="185" fontId="12" fillId="0" borderId="2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zoomScale="125" zoomScaleNormal="125" workbookViewId="0" topLeftCell="A1">
      <selection activeCell="B3" sqref="B3"/>
    </sheetView>
  </sheetViews>
  <sheetFormatPr defaultColWidth="11.00390625" defaultRowHeight="12.75"/>
  <cols>
    <col min="1" max="1" width="4.375" style="2" customWidth="1"/>
    <col min="2" max="2" width="19.875" style="2" customWidth="1"/>
    <col min="3" max="3" width="11.00390625" style="2" customWidth="1"/>
    <col min="4" max="4" width="14.375" style="2" customWidth="1"/>
    <col min="5" max="8" width="11.00390625" style="2" customWidth="1"/>
    <col min="9" max="16384" width="10.75390625" style="2" customWidth="1"/>
  </cols>
  <sheetData>
    <row r="1" ht="13.5" thickBot="1">
      <c r="A1" s="12">
        <v>1</v>
      </c>
    </row>
    <row r="2" spans="1:4" ht="13.5" thickBot="1">
      <c r="A2" s="2" t="s">
        <v>189</v>
      </c>
      <c r="B2" s="55" t="s">
        <v>16</v>
      </c>
      <c r="C2" s="56"/>
      <c r="D2" s="39"/>
    </row>
    <row r="3" ht="12.75">
      <c r="A3" s="6"/>
    </row>
    <row r="4" spans="1:2" ht="12.75">
      <c r="A4" s="6"/>
      <c r="B4" s="7" t="s">
        <v>185</v>
      </c>
    </row>
    <row r="5" spans="1:8" ht="13.5" thickBot="1">
      <c r="A5" s="6"/>
      <c r="B5" s="54"/>
      <c r="C5" s="4"/>
      <c r="D5" s="4"/>
      <c r="E5" s="4"/>
      <c r="F5" s="52"/>
      <c r="G5" s="52"/>
      <c r="H5" s="52"/>
    </row>
    <row r="6" spans="1:8" ht="12.75">
      <c r="A6" s="2" t="s">
        <v>212</v>
      </c>
      <c r="B6" s="68" t="s">
        <v>211</v>
      </c>
      <c r="C6" s="61"/>
      <c r="D6" s="62"/>
      <c r="E6" s="4"/>
      <c r="F6" s="52"/>
      <c r="G6" s="52"/>
      <c r="H6" s="52"/>
    </row>
    <row r="7" spans="1:8" ht="13.5" thickBot="1">
      <c r="A7" s="6"/>
      <c r="B7" s="69" t="s">
        <v>95</v>
      </c>
      <c r="C7" s="22"/>
      <c r="D7" s="63"/>
      <c r="E7" s="4"/>
      <c r="F7" s="52"/>
      <c r="G7" s="52"/>
      <c r="H7" s="52"/>
    </row>
    <row r="8" spans="1:8" ht="13.5" thickBot="1">
      <c r="A8" s="6"/>
      <c r="B8" s="54"/>
      <c r="C8" s="4"/>
      <c r="D8" s="4"/>
      <c r="E8" s="4"/>
      <c r="F8" s="52"/>
      <c r="G8" s="52"/>
      <c r="H8" s="52"/>
    </row>
    <row r="9" spans="1:8" ht="12.75">
      <c r="A9" s="2" t="s">
        <v>213</v>
      </c>
      <c r="B9" s="68" t="s">
        <v>93</v>
      </c>
      <c r="C9" s="61"/>
      <c r="D9" s="62"/>
      <c r="E9" s="4"/>
      <c r="F9" s="52"/>
      <c r="G9" s="52"/>
      <c r="H9" s="52"/>
    </row>
    <row r="10" spans="2:8" ht="15" thickBot="1">
      <c r="B10" s="69" t="s">
        <v>96</v>
      </c>
      <c r="C10" s="64"/>
      <c r="D10" s="65"/>
      <c r="E10" s="8"/>
      <c r="F10" s="52"/>
      <c r="G10" s="52"/>
      <c r="H10" s="52"/>
    </row>
    <row r="11" spans="2:8" ht="15" thickBot="1">
      <c r="B11" s="54"/>
      <c r="C11" s="13"/>
      <c r="D11" s="13"/>
      <c r="E11" s="8"/>
      <c r="F11" s="52"/>
      <c r="G11" s="52"/>
      <c r="H11" s="52"/>
    </row>
    <row r="12" spans="1:8" ht="13.5">
      <c r="A12" s="2" t="s">
        <v>217</v>
      </c>
      <c r="B12" s="68" t="s">
        <v>216</v>
      </c>
      <c r="C12" s="66"/>
      <c r="D12" s="67"/>
      <c r="E12" s="4"/>
      <c r="F12" s="52"/>
      <c r="G12" s="52"/>
      <c r="H12" s="52"/>
    </row>
    <row r="13" spans="2:5" ht="15" thickBot="1">
      <c r="B13" s="23" t="s">
        <v>0</v>
      </c>
      <c r="C13" s="64"/>
      <c r="D13" s="65"/>
      <c r="E13" s="8"/>
    </row>
    <row r="14" spans="2:5" ht="15" thickBot="1">
      <c r="B14" s="10"/>
      <c r="C14" s="13"/>
      <c r="D14" s="13"/>
      <c r="E14" s="8"/>
    </row>
    <row r="15" spans="1:5" ht="13.5">
      <c r="A15" s="2" t="s">
        <v>218</v>
      </c>
      <c r="B15" s="24" t="s">
        <v>94</v>
      </c>
      <c r="C15" s="66"/>
      <c r="D15" s="67"/>
      <c r="E15" s="8"/>
    </row>
    <row r="16" spans="2:5" ht="15" thickBot="1">
      <c r="B16" s="23" t="s">
        <v>1</v>
      </c>
      <c r="C16" s="64"/>
      <c r="D16" s="65"/>
      <c r="E16" s="8"/>
    </row>
    <row r="17" spans="2:5" ht="13.5">
      <c r="B17" s="10"/>
      <c r="C17" s="13"/>
      <c r="D17" s="13"/>
      <c r="E17" s="4"/>
    </row>
    <row r="18" spans="1:4" ht="13.5" thickBot="1">
      <c r="A18" s="7">
        <v>2</v>
      </c>
      <c r="B18" s="10"/>
      <c r="D18" s="7"/>
    </row>
    <row r="19" spans="1:5" ht="13.5" thickBot="1">
      <c r="A19" s="2" t="s">
        <v>183</v>
      </c>
      <c r="B19" s="36" t="s">
        <v>98</v>
      </c>
      <c r="C19" s="37"/>
      <c r="D19" s="38"/>
      <c r="E19" s="39"/>
    </row>
    <row r="20" spans="2:3" ht="13.5" thickBot="1">
      <c r="B20" s="10"/>
      <c r="C20" s="3"/>
    </row>
    <row r="21" spans="2:3" ht="12.75">
      <c r="B21" s="57" t="s">
        <v>99</v>
      </c>
      <c r="C21" s="3"/>
    </row>
    <row r="22" spans="2:3" ht="12.75">
      <c r="B22" s="58" t="s">
        <v>2</v>
      </c>
      <c r="C22" s="3"/>
    </row>
    <row r="23" spans="2:3" ht="12.75">
      <c r="B23" s="58" t="s">
        <v>3</v>
      </c>
      <c r="C23" s="3"/>
    </row>
    <row r="24" spans="2:3" ht="12.75">
      <c r="B24" s="58" t="s">
        <v>4</v>
      </c>
      <c r="C24" s="3"/>
    </row>
    <row r="25" spans="2:3" ht="12.75">
      <c r="B25" s="58" t="s">
        <v>5</v>
      </c>
      <c r="C25" s="3"/>
    </row>
    <row r="26" spans="2:3" ht="13.5" thickBot="1">
      <c r="B26" s="59" t="s">
        <v>6</v>
      </c>
      <c r="C26" s="3"/>
    </row>
    <row r="27" spans="2:3" ht="13.5" thickBot="1">
      <c r="B27" s="10"/>
      <c r="C27" s="3"/>
    </row>
    <row r="28" spans="2:3" ht="13.5" thickBot="1">
      <c r="B28" s="60" t="s">
        <v>100</v>
      </c>
      <c r="C28" s="3"/>
    </row>
    <row r="29" spans="2:3" ht="13.5" thickBot="1">
      <c r="B29" s="10"/>
      <c r="C29" s="3"/>
    </row>
    <row r="30" spans="1:5" ht="12.75">
      <c r="A30" s="2" t="s">
        <v>184</v>
      </c>
      <c r="B30" s="24" t="s">
        <v>101</v>
      </c>
      <c r="C30" s="25"/>
      <c r="D30" s="26"/>
      <c r="E30" s="27"/>
    </row>
    <row r="31" spans="2:5" ht="12.75">
      <c r="B31" s="32" t="s">
        <v>102</v>
      </c>
      <c r="E31" s="31"/>
    </row>
    <row r="32" spans="2:5" ht="12.75">
      <c r="B32" s="32" t="s">
        <v>15</v>
      </c>
      <c r="E32" s="31"/>
    </row>
    <row r="33" spans="1:5" ht="13.5" thickBot="1">
      <c r="A33" s="6"/>
      <c r="B33" s="23" t="s">
        <v>124</v>
      </c>
      <c r="C33" s="35"/>
      <c r="D33" s="35"/>
      <c r="E33" s="40"/>
    </row>
    <row r="34" spans="2:4" ht="13.5" thickBot="1">
      <c r="B34" s="11"/>
      <c r="C34" s="3"/>
      <c r="D34" s="3"/>
    </row>
    <row r="35" spans="1:5" ht="13.5" thickBot="1">
      <c r="A35" s="2" t="s">
        <v>186</v>
      </c>
      <c r="B35" s="36" t="s">
        <v>125</v>
      </c>
      <c r="C35" s="37"/>
      <c r="D35" s="56"/>
      <c r="E35" s="39"/>
    </row>
    <row r="36" spans="2:3" ht="12.75">
      <c r="B36" s="10"/>
      <c r="C36" s="3"/>
    </row>
    <row r="37" spans="2:3" ht="12.75">
      <c r="B37" s="10"/>
      <c r="C37" s="3"/>
    </row>
    <row r="38" spans="1:4" ht="13.5" thickBot="1">
      <c r="A38" s="7">
        <v>3</v>
      </c>
      <c r="B38" s="11"/>
      <c r="D38" s="1"/>
    </row>
    <row r="39" spans="2:9" ht="12.75">
      <c r="B39" s="29" t="s">
        <v>133</v>
      </c>
      <c r="C39" s="26"/>
      <c r="D39" s="26"/>
      <c r="E39" s="26"/>
      <c r="F39" s="26"/>
      <c r="G39" s="26"/>
      <c r="H39" s="26"/>
      <c r="I39" s="27"/>
    </row>
    <row r="40" spans="2:9" ht="12.75">
      <c r="B40" s="30"/>
      <c r="C40" s="14"/>
      <c r="D40" s="15" t="s">
        <v>127</v>
      </c>
      <c r="E40" s="16" t="s">
        <v>128</v>
      </c>
      <c r="F40" s="16" t="s">
        <v>129</v>
      </c>
      <c r="G40" s="16" t="s">
        <v>130</v>
      </c>
      <c r="H40" s="17"/>
      <c r="I40" s="31"/>
    </row>
    <row r="41" spans="2:9" ht="12.75">
      <c r="B41" s="30"/>
      <c r="C41" s="18" t="s">
        <v>131</v>
      </c>
      <c r="D41" s="19">
        <v>60</v>
      </c>
      <c r="E41" s="19">
        <v>54</v>
      </c>
      <c r="F41" s="19">
        <v>42</v>
      </c>
      <c r="G41" s="19">
        <f>H41-(D41+E41+F41)</f>
        <v>36</v>
      </c>
      <c r="H41" s="46">
        <v>192</v>
      </c>
      <c r="I41" s="31"/>
    </row>
    <row r="42" spans="2:9" ht="12.75">
      <c r="B42" s="30"/>
      <c r="C42" s="18" t="s">
        <v>132</v>
      </c>
      <c r="D42" s="19">
        <v>48</v>
      </c>
      <c r="E42" s="19">
        <v>72</v>
      </c>
      <c r="F42" s="19">
        <v>42</v>
      </c>
      <c r="G42" s="19">
        <f>H42-(D42+E42+F42)</f>
        <v>246</v>
      </c>
      <c r="H42" s="46">
        <f>H43-H41</f>
        <v>408</v>
      </c>
      <c r="I42" s="31"/>
    </row>
    <row r="43" spans="2:9" ht="12.75">
      <c r="B43" s="30"/>
      <c r="C43" s="20"/>
      <c r="D43" s="21">
        <f>D41+D42</f>
        <v>108</v>
      </c>
      <c r="E43" s="21">
        <f>E41+E42</f>
        <v>126</v>
      </c>
      <c r="F43" s="21">
        <f>F41+F42</f>
        <v>84</v>
      </c>
      <c r="G43" s="21">
        <f>G41+G42</f>
        <v>282</v>
      </c>
      <c r="H43" s="47">
        <v>600</v>
      </c>
      <c r="I43" s="31"/>
    </row>
    <row r="44" spans="1:9" ht="12.75">
      <c r="A44" s="7"/>
      <c r="B44" s="32"/>
      <c r="C44" s="8"/>
      <c r="D44" s="8"/>
      <c r="E44" s="8"/>
      <c r="F44" s="8"/>
      <c r="H44" s="7"/>
      <c r="I44" s="31"/>
    </row>
    <row r="45" spans="2:9" ht="12.75">
      <c r="B45" s="30" t="s">
        <v>182</v>
      </c>
      <c r="C45" s="41"/>
      <c r="D45" s="15" t="s">
        <v>127</v>
      </c>
      <c r="E45" s="16" t="s">
        <v>128</v>
      </c>
      <c r="F45" s="16" t="s">
        <v>129</v>
      </c>
      <c r="G45" s="16" t="s">
        <v>130</v>
      </c>
      <c r="H45" s="48"/>
      <c r="I45" s="31"/>
    </row>
    <row r="46" spans="1:9" ht="12.75">
      <c r="A46" s="6"/>
      <c r="B46" s="32"/>
      <c r="C46" s="18" t="s">
        <v>131</v>
      </c>
      <c r="D46" s="44">
        <f aca="true" t="shared" si="0" ref="D46:H48">D41/$H$43</f>
        <v>0.1</v>
      </c>
      <c r="E46" s="44">
        <f t="shared" si="0"/>
        <v>0.09</v>
      </c>
      <c r="F46" s="44">
        <f t="shared" si="0"/>
        <v>0.07</v>
      </c>
      <c r="G46" s="44">
        <f t="shared" si="0"/>
        <v>0.06</v>
      </c>
      <c r="H46" s="49">
        <f t="shared" si="0"/>
        <v>0.32</v>
      </c>
      <c r="I46" s="31"/>
    </row>
    <row r="47" spans="2:9" ht="12.75">
      <c r="B47" s="32"/>
      <c r="C47" s="18" t="s">
        <v>132</v>
      </c>
      <c r="D47" s="44">
        <f t="shared" si="0"/>
        <v>0.08</v>
      </c>
      <c r="E47" s="44">
        <f t="shared" si="0"/>
        <v>0.12</v>
      </c>
      <c r="F47" s="44">
        <f t="shared" si="0"/>
        <v>0.07</v>
      </c>
      <c r="G47" s="44">
        <f t="shared" si="0"/>
        <v>0.41</v>
      </c>
      <c r="H47" s="49">
        <f t="shared" si="0"/>
        <v>0.68</v>
      </c>
      <c r="I47" s="31"/>
    </row>
    <row r="48" spans="2:9" ht="12.75">
      <c r="B48" s="32"/>
      <c r="C48" s="42"/>
      <c r="D48" s="45">
        <f t="shared" si="0"/>
        <v>0.18</v>
      </c>
      <c r="E48" s="45">
        <f t="shared" si="0"/>
        <v>0.21</v>
      </c>
      <c r="F48" s="45">
        <f t="shared" si="0"/>
        <v>0.14</v>
      </c>
      <c r="G48" s="45">
        <f t="shared" si="0"/>
        <v>0.47</v>
      </c>
      <c r="H48" s="50">
        <f t="shared" si="0"/>
        <v>1</v>
      </c>
      <c r="I48" s="31"/>
    </row>
    <row r="49" spans="2:9" ht="13.5" thickBot="1">
      <c r="B49" s="23"/>
      <c r="C49" s="22"/>
      <c r="D49" s="33"/>
      <c r="E49" s="34"/>
      <c r="F49" s="33"/>
      <c r="G49" s="35"/>
      <c r="H49" s="35"/>
      <c r="I49" s="28"/>
    </row>
    <row r="50" spans="2:6" ht="13.5" thickBot="1">
      <c r="B50" s="10"/>
      <c r="C50" s="4"/>
      <c r="D50" s="8"/>
      <c r="E50" s="9"/>
      <c r="F50" s="8"/>
    </row>
    <row r="51" spans="1:6" ht="13.5" thickBot="1">
      <c r="A51" s="2" t="s">
        <v>184</v>
      </c>
      <c r="B51" s="51">
        <f>D47</f>
        <v>0.08</v>
      </c>
      <c r="C51" s="4"/>
      <c r="D51" s="8"/>
      <c r="E51" s="9"/>
      <c r="F51" s="8"/>
    </row>
    <row r="52" spans="2:5" ht="13.5" thickBot="1">
      <c r="B52" s="52"/>
      <c r="C52" s="3"/>
      <c r="E52" s="1"/>
    </row>
    <row r="53" spans="1:3" ht="13.5" thickBot="1">
      <c r="A53" s="2" t="s">
        <v>186</v>
      </c>
      <c r="B53" s="51">
        <f>E47+F47+G47</f>
        <v>0.6</v>
      </c>
      <c r="C53" s="3"/>
    </row>
    <row r="54" spans="2:8" ht="13.5" thickBot="1">
      <c r="B54" s="53"/>
      <c r="C54" s="3"/>
      <c r="H54" s="43"/>
    </row>
    <row r="55" spans="1:6" ht="13.5" thickBot="1">
      <c r="A55" s="2" t="s">
        <v>187</v>
      </c>
      <c r="B55" s="51">
        <f>E46+E47+D46+F46+G46</f>
        <v>0.44</v>
      </c>
      <c r="D55" s="1"/>
      <c r="E55" s="1"/>
      <c r="F55" s="1"/>
    </row>
    <row r="56" spans="2:9" ht="13.5" thickBot="1">
      <c r="B56" s="54"/>
      <c r="D56" s="1"/>
      <c r="E56" s="5"/>
      <c r="H56" s="3"/>
      <c r="I56" s="3"/>
    </row>
    <row r="57" spans="1:9" ht="13.5" thickBot="1">
      <c r="A57" s="2" t="s">
        <v>188</v>
      </c>
      <c r="B57" s="51">
        <f>D46+E46+F46+G46+D47+F47+G47</f>
        <v>0.88</v>
      </c>
      <c r="D57" s="3"/>
      <c r="E57" s="7"/>
      <c r="H57" s="3"/>
      <c r="I57" s="3"/>
    </row>
    <row r="58" spans="2:9" ht="13.5" thickBot="1">
      <c r="B58" s="11"/>
      <c r="D58" s="3"/>
      <c r="E58" s="5"/>
      <c r="H58" s="3"/>
      <c r="I58" s="3"/>
    </row>
    <row r="59" spans="1:9" ht="13.5" thickBot="1">
      <c r="A59" s="2" t="s">
        <v>7</v>
      </c>
      <c r="B59" s="51">
        <f>D46+D47+G46+G47+F47+E47</f>
        <v>0.84</v>
      </c>
      <c r="D59" s="3"/>
      <c r="E59" s="7"/>
      <c r="H59" s="3"/>
      <c r="I59" s="3"/>
    </row>
    <row r="60" spans="2:9" ht="13.5" thickBot="1">
      <c r="B60" s="11"/>
      <c r="D60" s="3"/>
      <c r="E60" s="5"/>
      <c r="H60" s="3"/>
      <c r="I60" s="3"/>
    </row>
    <row r="61" spans="1:9" ht="13.5" thickBot="1">
      <c r="A61" s="2" t="s">
        <v>8</v>
      </c>
      <c r="B61" s="51">
        <f>E46/H46</f>
        <v>0.28125</v>
      </c>
      <c r="D61" s="3"/>
      <c r="E61" s="7"/>
      <c r="H61" s="3"/>
      <c r="I61" s="3"/>
    </row>
    <row r="62" spans="2:9" ht="13.5" thickBot="1">
      <c r="B62" s="11"/>
      <c r="D62" s="3"/>
      <c r="E62" s="5"/>
      <c r="H62" s="3"/>
      <c r="I62" s="3"/>
    </row>
    <row r="63" spans="1:9" ht="13.5" thickBot="1">
      <c r="A63" s="2" t="s">
        <v>9</v>
      </c>
      <c r="B63" s="51">
        <f>(D46+F46+G46)/H46</f>
        <v>0.71875</v>
      </c>
      <c r="D63" s="3"/>
      <c r="E63" s="7"/>
      <c r="H63" s="3"/>
      <c r="I63" s="3"/>
    </row>
    <row r="64" spans="2:9" ht="13.5" thickBot="1">
      <c r="B64" s="11"/>
      <c r="D64" s="3"/>
      <c r="E64" s="5"/>
      <c r="H64" s="3"/>
      <c r="I64" s="3"/>
    </row>
    <row r="65" spans="1:9" ht="13.5" thickBot="1">
      <c r="A65" s="2" t="s">
        <v>10</v>
      </c>
      <c r="B65" s="51">
        <f>0/(D48+E48+F48)</f>
        <v>0</v>
      </c>
      <c r="D65" s="3"/>
      <c r="E65" s="7"/>
      <c r="H65" s="3"/>
      <c r="I65" s="3"/>
    </row>
    <row r="66" spans="2:9" ht="13.5" thickBot="1">
      <c r="B66" s="11"/>
      <c r="D66" s="3"/>
      <c r="E66" s="5"/>
      <c r="H66" s="3"/>
      <c r="I66" s="3"/>
    </row>
    <row r="67" spans="1:9" ht="13.5" thickBot="1">
      <c r="A67" s="2" t="s">
        <v>11</v>
      </c>
      <c r="B67" s="51">
        <f>(D48)/(D48+E48+F48)</f>
        <v>0.33962264150943394</v>
      </c>
      <c r="D67" s="3"/>
      <c r="E67" s="7"/>
      <c r="H67" s="3"/>
      <c r="I67" s="3"/>
    </row>
    <row r="68" spans="2:9" ht="12.75">
      <c r="B68" s="11"/>
      <c r="D68" s="3"/>
      <c r="E68" s="5"/>
      <c r="H68" s="3"/>
      <c r="I68" s="3"/>
    </row>
    <row r="69" spans="2:9" ht="12.75">
      <c r="B69" s="10"/>
      <c r="D69" s="1"/>
      <c r="E69" s="7"/>
      <c r="H69" s="1"/>
      <c r="I69" s="1"/>
    </row>
    <row r="70" ht="12.75">
      <c r="B70" s="10"/>
    </row>
    <row r="71" spans="2:8" ht="12.75">
      <c r="B71" s="10"/>
      <c r="C71" s="8"/>
      <c r="D71" s="8"/>
      <c r="E71" s="8"/>
      <c r="F71" s="8"/>
      <c r="G71" s="8"/>
      <c r="H71" s="8"/>
    </row>
    <row r="72" spans="2:8" ht="12.75">
      <c r="B72" s="10"/>
      <c r="C72" s="8"/>
      <c r="D72" s="8"/>
      <c r="E72" s="8"/>
      <c r="F72" s="8"/>
      <c r="G72" s="8"/>
      <c r="H72" s="8"/>
    </row>
    <row r="73" spans="2:8" ht="12.75">
      <c r="B73" s="10"/>
      <c r="C73" s="8"/>
      <c r="D73" s="8"/>
      <c r="E73" s="8"/>
      <c r="F73" s="8"/>
      <c r="G73" s="8"/>
      <c r="H73" s="8"/>
    </row>
    <row r="74" spans="2:8" ht="12.75">
      <c r="B74" s="7"/>
      <c r="C74" s="8"/>
      <c r="D74" s="8"/>
      <c r="E74" s="8"/>
      <c r="F74" s="8"/>
      <c r="G74" s="8"/>
      <c r="H74" s="8"/>
    </row>
    <row r="75" spans="2:8" ht="12.75">
      <c r="B75" s="8"/>
      <c r="C75" s="8"/>
      <c r="D75" s="8"/>
      <c r="E75" s="8"/>
      <c r="F75" s="8"/>
      <c r="G75" s="8"/>
      <c r="H75" s="8"/>
    </row>
    <row r="76" ht="12.75">
      <c r="A76" s="6"/>
    </row>
    <row r="77" spans="2:5" ht="12.75">
      <c r="B77" s="3"/>
      <c r="C77" s="3"/>
      <c r="D77" s="3"/>
      <c r="E77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5" ht="12.75">
      <c r="C85" s="3"/>
    </row>
    <row r="86" ht="12.75">
      <c r="C86" s="3"/>
    </row>
    <row r="88" ht="12.75">
      <c r="C88" s="3"/>
    </row>
    <row r="90" spans="2:7" ht="12.75">
      <c r="B90" s="8"/>
      <c r="C90" s="8"/>
      <c r="D90" s="8"/>
      <c r="E90" s="8"/>
      <c r="F90" s="8"/>
      <c r="G90" s="8"/>
    </row>
    <row r="91" spans="2:7" ht="12.75">
      <c r="B91" s="4"/>
      <c r="C91" s="4"/>
      <c r="D91" s="4"/>
      <c r="E91" s="4"/>
      <c r="F91" s="4"/>
      <c r="G91" s="4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1:10" ht="12.75">
      <c r="A94" s="8"/>
      <c r="B94" s="4"/>
      <c r="C94" s="4"/>
      <c r="D94" s="4"/>
      <c r="E94" s="4"/>
      <c r="F94" s="4"/>
      <c r="G94" s="8"/>
      <c r="H94" s="8"/>
      <c r="I94" s="8"/>
      <c r="J94" s="8"/>
    </row>
    <row r="95" spans="1:10" ht="12.75">
      <c r="A95" s="8"/>
      <c r="B95" s="8"/>
      <c r="C95" s="4"/>
      <c r="E95" s="4"/>
      <c r="F95" s="4"/>
      <c r="G95" s="8"/>
      <c r="H95" s="8"/>
      <c r="I95" s="8"/>
      <c r="J95" s="8"/>
    </row>
    <row r="96" spans="1:10" ht="12.7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.75">
      <c r="A97" s="8"/>
      <c r="B97" s="4"/>
      <c r="C97" s="4"/>
      <c r="D97" s="4"/>
      <c r="E97" s="4"/>
      <c r="F97" s="4"/>
      <c r="G97" s="8"/>
      <c r="H97" s="8"/>
      <c r="I97" s="8"/>
      <c r="J97" s="8"/>
    </row>
    <row r="98" spans="1:10" ht="12.75">
      <c r="A98" s="8"/>
      <c r="B98" s="8"/>
      <c r="C98" s="4"/>
      <c r="D98" s="4"/>
      <c r="E98" s="4"/>
      <c r="F98" s="4"/>
      <c r="G98" s="8"/>
      <c r="H98" s="8"/>
      <c r="I98" s="8"/>
      <c r="J98" s="8"/>
    </row>
    <row r="99" spans="1:10" ht="12.7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.75">
      <c r="A100" s="8"/>
      <c r="B100" s="4"/>
      <c r="C100" s="4"/>
      <c r="D100" s="4"/>
      <c r="E100" s="4"/>
      <c r="F100" s="4"/>
      <c r="G100" s="8"/>
      <c r="H100" s="8"/>
      <c r="I100" s="8"/>
      <c r="J100" s="8"/>
    </row>
    <row r="101" spans="1:10" ht="12.75">
      <c r="A101" s="8"/>
      <c r="B101" s="8"/>
      <c r="C101" s="4"/>
      <c r="D101" s="4"/>
      <c r="E101" s="4"/>
      <c r="F101" s="4"/>
      <c r="G101" s="8"/>
      <c r="H101" s="8"/>
      <c r="I101" s="8"/>
      <c r="J101" s="8"/>
    </row>
    <row r="102" spans="1:10" ht="12.75">
      <c r="A102" s="8"/>
      <c r="B102" s="8"/>
      <c r="C102" s="4"/>
      <c r="D102" s="4"/>
      <c r="E102" s="4"/>
      <c r="F102" s="4"/>
      <c r="G102" s="8"/>
      <c r="H102" s="8"/>
      <c r="I102" s="8"/>
      <c r="J102" s="8"/>
    </row>
    <row r="103" spans="1:10" ht="12.75">
      <c r="A103" s="6"/>
      <c r="C103" s="3"/>
      <c r="D103" s="4"/>
      <c r="E103" s="4"/>
      <c r="F103" s="4"/>
      <c r="G103" s="8"/>
      <c r="H103" s="8"/>
      <c r="I103" s="8"/>
      <c r="J103" s="8"/>
    </row>
    <row r="104" spans="3:10" ht="12.75">
      <c r="C104" s="3"/>
      <c r="D104" s="4"/>
      <c r="E104" s="4"/>
      <c r="F104" s="4"/>
      <c r="G104" s="8"/>
      <c r="H104" s="8"/>
      <c r="I104" s="8"/>
      <c r="J104" s="8"/>
    </row>
    <row r="105" spans="3:10" ht="12.75">
      <c r="C105" s="3"/>
      <c r="D105" s="4"/>
      <c r="E105" s="4"/>
      <c r="F105" s="4"/>
      <c r="G105" s="8"/>
      <c r="H105" s="8"/>
      <c r="I105" s="8"/>
      <c r="J105" s="8"/>
    </row>
    <row r="106" spans="3:10" ht="12.75">
      <c r="C106" s="3"/>
      <c r="D106" s="8"/>
      <c r="E106" s="8"/>
      <c r="F106" s="8"/>
      <c r="G106" s="8"/>
      <c r="H106" s="8"/>
      <c r="I106" s="8"/>
      <c r="J106" s="8"/>
    </row>
    <row r="107" spans="2:10" ht="12.75">
      <c r="B107" s="8"/>
      <c r="D107" s="7"/>
      <c r="E107" s="8"/>
      <c r="F107" s="8"/>
      <c r="G107" s="8"/>
      <c r="H107" s="8"/>
      <c r="I107" s="8"/>
      <c r="J107" s="8"/>
    </row>
    <row r="108" spans="2:10" ht="12.75">
      <c r="B108" s="8"/>
      <c r="D108" s="7"/>
      <c r="E108" s="8"/>
      <c r="F108" s="8"/>
      <c r="G108" s="8"/>
      <c r="H108" s="8"/>
      <c r="I108" s="8"/>
      <c r="J108" s="8"/>
    </row>
    <row r="109" spans="2:10" ht="12.75">
      <c r="B109" s="8"/>
      <c r="D109" s="7"/>
      <c r="E109" s="8"/>
      <c r="F109" s="8"/>
      <c r="G109" s="8"/>
      <c r="H109" s="8"/>
      <c r="I109" s="8"/>
      <c r="J109" s="8"/>
    </row>
    <row r="110" spans="2:10" ht="12.75">
      <c r="B110" s="8"/>
      <c r="D110" s="7"/>
      <c r="E110" s="8"/>
      <c r="F110" s="8"/>
      <c r="G110" s="8"/>
      <c r="H110" s="8"/>
      <c r="I110" s="8"/>
      <c r="J110" s="8"/>
    </row>
    <row r="111" spans="2:10" ht="12.75">
      <c r="B111" s="8"/>
      <c r="C111" s="3"/>
      <c r="D111" s="7"/>
      <c r="E111" s="8"/>
      <c r="F111" s="8"/>
      <c r="G111" s="8"/>
      <c r="H111" s="8"/>
      <c r="I111" s="8"/>
      <c r="J111" s="8"/>
    </row>
    <row r="112" spans="2:10" ht="12.75">
      <c r="B112" s="8"/>
      <c r="C112" s="3"/>
      <c r="D112" s="7"/>
      <c r="E112" s="4"/>
      <c r="F112" s="8"/>
      <c r="G112" s="8"/>
      <c r="H112" s="8"/>
      <c r="I112" s="8"/>
      <c r="J112" s="8"/>
    </row>
    <row r="113" spans="2:10" ht="12.75">
      <c r="B113" s="8"/>
      <c r="C113" s="3"/>
      <c r="D113" s="7"/>
      <c r="E113" s="8"/>
      <c r="F113" s="8"/>
      <c r="G113" s="8"/>
      <c r="H113" s="8"/>
      <c r="I113" s="8"/>
      <c r="J113" s="8"/>
    </row>
    <row r="114" spans="2:10" ht="12.75">
      <c r="B114" s="8"/>
      <c r="C114" s="3"/>
      <c r="D114" s="7"/>
      <c r="E114" s="8"/>
      <c r="F114" s="8"/>
      <c r="G114" s="8"/>
      <c r="H114" s="8"/>
      <c r="I114" s="8"/>
      <c r="J114" s="8"/>
    </row>
    <row r="115" spans="2:10" ht="12.75">
      <c r="B115" s="8"/>
      <c r="C115" s="3"/>
      <c r="D115" s="7"/>
      <c r="E115" s="8"/>
      <c r="F115" s="8"/>
      <c r="G115" s="8"/>
      <c r="H115" s="8"/>
      <c r="I115" s="8"/>
      <c r="J115" s="8"/>
    </row>
    <row r="116" spans="2:10" ht="12.75">
      <c r="B116" s="8"/>
      <c r="C116" s="3"/>
      <c r="D116" s="7"/>
      <c r="E116" s="8"/>
      <c r="F116" s="8"/>
      <c r="G116" s="8"/>
      <c r="H116" s="8"/>
      <c r="I116" s="8"/>
      <c r="J116" s="8"/>
    </row>
    <row r="117" spans="2:10" ht="12.75">
      <c r="B117" s="8"/>
      <c r="C117" s="3"/>
      <c r="D117" s="7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3"/>
      <c r="D119" s="7"/>
      <c r="E119" s="8"/>
      <c r="F119" s="8"/>
      <c r="G119" s="8"/>
      <c r="H119" s="8"/>
      <c r="I119" s="8"/>
      <c r="J119" s="8"/>
    </row>
    <row r="120" spans="2:10" ht="12.75">
      <c r="B120" s="8"/>
      <c r="C120" s="3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3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F58" sqref="F58"/>
    </sheetView>
  </sheetViews>
  <sheetFormatPr defaultColWidth="11.00390625" defaultRowHeight="12.75"/>
  <cols>
    <col min="1" max="1" width="6.25390625" style="81" customWidth="1"/>
    <col min="2" max="2" width="13.375" style="83" customWidth="1"/>
    <col min="3" max="7" width="13.375" style="0" customWidth="1"/>
  </cols>
  <sheetData>
    <row r="1" ht="13.5" thickBot="1">
      <c r="A1" s="82" t="s">
        <v>17</v>
      </c>
    </row>
    <row r="2" spans="2:5" ht="12.75">
      <c r="B2" s="98" t="s">
        <v>23</v>
      </c>
      <c r="C2" s="99"/>
      <c r="D2" s="99"/>
      <c r="E2" s="100"/>
    </row>
    <row r="3" spans="2:5" ht="12.75">
      <c r="B3" s="101"/>
      <c r="C3" s="72" t="s">
        <v>18</v>
      </c>
      <c r="D3" s="72" t="s">
        <v>19</v>
      </c>
      <c r="E3" s="102"/>
    </row>
    <row r="4" spans="2:5" ht="12.75">
      <c r="B4" s="101" t="s">
        <v>20</v>
      </c>
      <c r="C4" s="72">
        <f>C10*$E$6</f>
        <v>120.00000000000001</v>
      </c>
      <c r="D4" s="72">
        <f>D10*$E$6</f>
        <v>30.000000000000004</v>
      </c>
      <c r="E4" s="102">
        <v>150</v>
      </c>
    </row>
    <row r="5" spans="2:5" ht="12.75">
      <c r="B5" s="101" t="s">
        <v>22</v>
      </c>
      <c r="C5" s="72">
        <f>C11*$E$6</f>
        <v>40</v>
      </c>
      <c r="D5" s="72">
        <f>D11*$E$6</f>
        <v>10</v>
      </c>
      <c r="E5" s="102">
        <f>E6-E4</f>
        <v>50</v>
      </c>
    </row>
    <row r="6" spans="2:5" ht="13.5" thickBot="1">
      <c r="B6" s="103"/>
      <c r="C6" s="104">
        <v>160</v>
      </c>
      <c r="D6" s="104">
        <f>E6-C6</f>
        <v>40</v>
      </c>
      <c r="E6" s="105">
        <v>200</v>
      </c>
    </row>
    <row r="7" ht="13.5" thickBot="1"/>
    <row r="8" spans="2:5" ht="12.75">
      <c r="B8" s="98" t="s">
        <v>24</v>
      </c>
      <c r="C8" s="99"/>
      <c r="D8" s="99"/>
      <c r="E8" s="100"/>
    </row>
    <row r="9" spans="2:5" ht="12.75">
      <c r="B9" s="101"/>
      <c r="C9" s="73" t="s">
        <v>18</v>
      </c>
      <c r="D9" s="73" t="s">
        <v>19</v>
      </c>
      <c r="E9" s="106"/>
    </row>
    <row r="10" spans="2:5" ht="12.75">
      <c r="B10" s="101" t="s">
        <v>20</v>
      </c>
      <c r="C10" s="74">
        <f>$E10*C$12</f>
        <v>0.6000000000000001</v>
      </c>
      <c r="D10" s="74">
        <f>$E10*D$12</f>
        <v>0.15000000000000002</v>
      </c>
      <c r="E10" s="107">
        <f>E4/$E$6</f>
        <v>0.75</v>
      </c>
    </row>
    <row r="11" spans="2:5" ht="12.75">
      <c r="B11" s="101" t="s">
        <v>22</v>
      </c>
      <c r="C11" s="74">
        <f>$E11*C$12</f>
        <v>0.2</v>
      </c>
      <c r="D11" s="74">
        <f>$E11*D$12</f>
        <v>0.05</v>
      </c>
      <c r="E11" s="107">
        <f>E5/$E$6</f>
        <v>0.25</v>
      </c>
    </row>
    <row r="12" spans="2:5" ht="13.5" thickBot="1">
      <c r="B12" s="103"/>
      <c r="C12" s="108">
        <f>C6/$E$6</f>
        <v>0.8</v>
      </c>
      <c r="D12" s="108">
        <f>D6/$E$6</f>
        <v>0.2</v>
      </c>
      <c r="E12" s="109">
        <f>E6/$E$6</f>
        <v>1</v>
      </c>
    </row>
    <row r="14" ht="12.75">
      <c r="A14" s="82" t="s">
        <v>25</v>
      </c>
    </row>
    <row r="15" spans="2:7" ht="12.75">
      <c r="B15" s="84"/>
      <c r="C15" s="73" t="s">
        <v>26</v>
      </c>
      <c r="D15" s="73" t="s">
        <v>27</v>
      </c>
      <c r="E15" s="73" t="s">
        <v>28</v>
      </c>
      <c r="F15" s="76" t="s">
        <v>19</v>
      </c>
      <c r="G15" s="75"/>
    </row>
    <row r="16" spans="2:7" ht="12.75">
      <c r="B16" s="86" t="s">
        <v>29</v>
      </c>
      <c r="C16" s="77">
        <f>$G16*0.05</f>
        <v>0.03333333333333333</v>
      </c>
      <c r="D16" s="77">
        <f>$G16*0.05</f>
        <v>0.03333333333333333</v>
      </c>
      <c r="E16" s="77">
        <f>$G16*0.05</f>
        <v>0.03333333333333333</v>
      </c>
      <c r="F16" s="77">
        <f>$G16*0.85</f>
        <v>0.5666666666666667</v>
      </c>
      <c r="G16" s="79">
        <f>2/3</f>
        <v>0.6666666666666666</v>
      </c>
    </row>
    <row r="17" spans="2:7" ht="12.75">
      <c r="B17" s="86" t="s">
        <v>30</v>
      </c>
      <c r="C17" s="77">
        <f>$G17*0.25</f>
        <v>0.08333333333333334</v>
      </c>
      <c r="D17" s="77">
        <f>$G17*0.25</f>
        <v>0.08333333333333334</v>
      </c>
      <c r="E17" s="77">
        <f>$G17*0.25</f>
        <v>0.08333333333333334</v>
      </c>
      <c r="F17" s="77">
        <f>$G17*0.25</f>
        <v>0.08333333333333334</v>
      </c>
      <c r="G17" s="79">
        <f>G18-G16</f>
        <v>0.33333333333333337</v>
      </c>
    </row>
    <row r="18" spans="2:7" ht="12.75">
      <c r="B18" s="85"/>
      <c r="C18" s="78">
        <f>C16+C17</f>
        <v>0.11666666666666667</v>
      </c>
      <c r="D18" s="78">
        <f>D16+D17</f>
        <v>0.11666666666666667</v>
      </c>
      <c r="E18" s="78">
        <f>E16+E17</f>
        <v>0.11666666666666667</v>
      </c>
      <c r="F18" s="78">
        <f>F16+F17</f>
        <v>0.65</v>
      </c>
      <c r="G18" s="80">
        <v>1</v>
      </c>
    </row>
    <row r="19" ht="13.5" thickBot="1"/>
    <row r="20" spans="1:2" ht="13.5" thickBot="1">
      <c r="A20" s="81" t="s">
        <v>31</v>
      </c>
      <c r="B20" s="110">
        <f>G16</f>
        <v>0.6666666666666666</v>
      </c>
    </row>
    <row r="21" ht="13.5" thickBot="1">
      <c r="B21" s="88"/>
    </row>
    <row r="22" spans="1:2" ht="13.5" thickBot="1">
      <c r="A22" s="81" t="s">
        <v>32</v>
      </c>
      <c r="B22" s="110">
        <f>F18</f>
        <v>0.65</v>
      </c>
    </row>
    <row r="23" ht="13.5" thickBot="1">
      <c r="B23" s="88"/>
    </row>
    <row r="24" spans="1:2" ht="13.5" thickBot="1">
      <c r="A24" s="81" t="s">
        <v>33</v>
      </c>
      <c r="B24" s="110">
        <f>(1/6)*0.25+(1/6)*0.85</f>
        <v>0.18333333333333332</v>
      </c>
    </row>
    <row r="25" ht="13.5" thickBot="1">
      <c r="B25" s="88"/>
    </row>
    <row r="26" spans="1:2" ht="13.5" thickBot="1">
      <c r="A26" s="81" t="s">
        <v>34</v>
      </c>
      <c r="B26" s="110">
        <f>(2/6)+F18-B24</f>
        <v>0.8</v>
      </c>
    </row>
    <row r="27" ht="13.5" thickBot="1">
      <c r="B27" s="88"/>
    </row>
    <row r="28" spans="1:2" ht="13.5" thickBot="1">
      <c r="A28" s="81" t="s">
        <v>35</v>
      </c>
      <c r="B28" s="110">
        <f>E18</f>
        <v>0.11666666666666667</v>
      </c>
    </row>
    <row r="29" ht="13.5" thickBot="1">
      <c r="B29" s="88"/>
    </row>
    <row r="30" spans="1:2" ht="13.5" thickBot="1">
      <c r="A30" s="81" t="s">
        <v>36</v>
      </c>
      <c r="B30" s="110">
        <f>(1/6)*0.25</f>
        <v>0.041666666666666664</v>
      </c>
    </row>
    <row r="31" ht="13.5" thickBot="1">
      <c r="B31" s="88"/>
    </row>
    <row r="32" spans="1:2" ht="13.5" thickBot="1">
      <c r="A32" s="81" t="s">
        <v>37</v>
      </c>
      <c r="B32" s="110">
        <f>2/3</f>
        <v>0.6666666666666666</v>
      </c>
    </row>
    <row r="33" ht="13.5" thickBot="1">
      <c r="B33" s="88"/>
    </row>
    <row r="34" spans="1:2" ht="13.5" thickBot="1">
      <c r="A34" s="81" t="s">
        <v>38</v>
      </c>
      <c r="B34" s="110">
        <v>0.25</v>
      </c>
    </row>
    <row r="35" ht="13.5" thickBot="1">
      <c r="B35" s="88"/>
    </row>
    <row r="36" spans="1:2" ht="13.5" thickBot="1">
      <c r="A36" s="81" t="s">
        <v>39</v>
      </c>
      <c r="B36" s="110">
        <f>(2/6)*0.25</f>
        <v>0.08333333333333333</v>
      </c>
    </row>
    <row r="37" ht="13.5" thickBot="1">
      <c r="B37" s="88"/>
    </row>
    <row r="38" spans="1:2" ht="13.5" thickBot="1">
      <c r="A38" s="81" t="s">
        <v>40</v>
      </c>
      <c r="B38" s="110">
        <f>(2/6)+0.25-B36</f>
        <v>0.49999999999999994</v>
      </c>
    </row>
    <row r="39" ht="13.5" thickBot="1">
      <c r="B39" s="88"/>
    </row>
    <row r="40" spans="1:2" ht="13.5" thickBot="1">
      <c r="A40" s="81" t="s">
        <v>41</v>
      </c>
      <c r="B40" s="110">
        <v>0.25</v>
      </c>
    </row>
    <row r="41" ht="13.5" thickBot="1">
      <c r="B41" s="88"/>
    </row>
    <row r="42" spans="1:2" ht="13.5" thickBot="1">
      <c r="A42" s="81" t="s">
        <v>167</v>
      </c>
      <c r="B42" s="110">
        <f>0.25*(1/6)</f>
        <v>0.041666666666666664</v>
      </c>
    </row>
    <row r="45" spans="1:5" ht="13.5" thickBot="1">
      <c r="A45" s="82" t="s">
        <v>168</v>
      </c>
      <c r="B45" s="87" t="s">
        <v>173</v>
      </c>
      <c r="C45" s="92">
        <v>0.6</v>
      </c>
      <c r="D45" s="81" t="s">
        <v>174</v>
      </c>
      <c r="E45" s="92">
        <f>1-C45</f>
        <v>0.4</v>
      </c>
    </row>
    <row r="46" spans="1:5" ht="12.75">
      <c r="A46" s="81" t="s">
        <v>31</v>
      </c>
      <c r="B46" s="89" t="s">
        <v>172</v>
      </c>
      <c r="C46" s="111" t="s">
        <v>169</v>
      </c>
      <c r="D46" s="112" t="s">
        <v>170</v>
      </c>
      <c r="E46" s="115" t="s">
        <v>176</v>
      </c>
    </row>
    <row r="47" spans="2:9" ht="12.75">
      <c r="B47" s="90">
        <v>1</v>
      </c>
      <c r="C47" s="113">
        <v>2</v>
      </c>
      <c r="D47" s="120">
        <f>$E$45^(B47-1)*$C$45</f>
        <v>0.6</v>
      </c>
      <c r="E47" s="116">
        <f aca="true" t="shared" si="0" ref="E47:E52">D47*$C$54</f>
        <v>120000</v>
      </c>
      <c r="I47" s="93"/>
    </row>
    <row r="48" spans="2:9" ht="12.75">
      <c r="B48" s="90">
        <v>2</v>
      </c>
      <c r="C48" s="113">
        <v>4</v>
      </c>
      <c r="D48" s="120">
        <f>$E$45^(B48-1)*$C$45</f>
        <v>0.24</v>
      </c>
      <c r="E48" s="116">
        <f t="shared" si="0"/>
        <v>48000</v>
      </c>
      <c r="I48" s="93"/>
    </row>
    <row r="49" spans="2:9" ht="12.75">
      <c r="B49" s="90">
        <v>3</v>
      </c>
      <c r="C49" s="113">
        <v>6</v>
      </c>
      <c r="D49" s="120">
        <f>$E$45^(B49-1)*$C$45</f>
        <v>0.09600000000000002</v>
      </c>
      <c r="E49" s="116">
        <f t="shared" si="0"/>
        <v>19200.000000000004</v>
      </c>
      <c r="I49" s="93"/>
    </row>
    <row r="50" spans="2:9" ht="12.75">
      <c r="B50" s="90">
        <v>4</v>
      </c>
      <c r="C50" s="113">
        <v>8</v>
      </c>
      <c r="D50" s="120">
        <f>$E$45^(B50-1)*$C$45</f>
        <v>0.03840000000000001</v>
      </c>
      <c r="E50" s="116">
        <f t="shared" si="0"/>
        <v>7680.000000000002</v>
      </c>
      <c r="I50" s="93"/>
    </row>
    <row r="51" spans="2:9" ht="12.75">
      <c r="B51" s="90">
        <v>5</v>
      </c>
      <c r="C51" s="113">
        <v>10</v>
      </c>
      <c r="D51" s="120">
        <f>$E$45^(B51-1)*$C$45</f>
        <v>0.015360000000000006</v>
      </c>
      <c r="E51" s="116">
        <f t="shared" si="0"/>
        <v>3072.000000000001</v>
      </c>
      <c r="I51" s="93"/>
    </row>
    <row r="52" spans="2:9" ht="13.5" thickBot="1">
      <c r="B52" s="90" t="s">
        <v>171</v>
      </c>
      <c r="C52" s="114">
        <v>1</v>
      </c>
      <c r="D52" s="121">
        <f>1-SUM(D47:D51)</f>
        <v>0.010240000000000027</v>
      </c>
      <c r="E52" s="117">
        <f t="shared" si="0"/>
        <v>2048.0000000000055</v>
      </c>
      <c r="I52" s="93"/>
    </row>
    <row r="53" spans="2:9" ht="13.5" thickBot="1">
      <c r="B53" s="90"/>
      <c r="C53" s="90"/>
      <c r="D53" s="71"/>
      <c r="E53" s="71"/>
      <c r="I53" s="93"/>
    </row>
    <row r="54" spans="1:9" ht="13.5" thickBot="1">
      <c r="A54" s="81" t="s">
        <v>32</v>
      </c>
      <c r="B54" s="87" t="s">
        <v>175</v>
      </c>
      <c r="C54" s="94">
        <v>200000</v>
      </c>
      <c r="D54" s="118" t="s">
        <v>209</v>
      </c>
      <c r="E54" s="119"/>
      <c r="I54" s="93"/>
    </row>
    <row r="55" spans="2:9" ht="12.75">
      <c r="B55" s="90"/>
      <c r="C55" s="90"/>
      <c r="D55" s="71"/>
      <c r="E55" s="71"/>
      <c r="I55" s="93"/>
    </row>
    <row r="56" spans="1:9" ht="12.75">
      <c r="A56" s="82" t="s">
        <v>177</v>
      </c>
      <c r="B56" s="90"/>
      <c r="C56" s="90"/>
      <c r="D56" s="71"/>
      <c r="E56" s="71"/>
      <c r="I56" s="93"/>
    </row>
    <row r="57" spans="2:9" ht="13.5" thickBot="1">
      <c r="B57" s="95" t="s">
        <v>49</v>
      </c>
      <c r="C57" s="90"/>
      <c r="D57" s="71"/>
      <c r="E57" s="71"/>
      <c r="I57" s="93"/>
    </row>
    <row r="58" spans="2:9" ht="13.5" thickBot="1">
      <c r="B58" s="122" t="s">
        <v>208</v>
      </c>
      <c r="C58" s="123">
        <f>(0.166-0.122)*2.5</f>
        <v>0.11000000000000003</v>
      </c>
      <c r="D58" s="71"/>
      <c r="E58" s="71"/>
      <c r="I58" s="93"/>
    </row>
    <row r="59" spans="2:9" ht="12.75">
      <c r="B59" s="90"/>
      <c r="C59" s="90"/>
      <c r="D59" s="71"/>
      <c r="E59" s="71"/>
      <c r="I59" s="93"/>
    </row>
    <row r="60" spans="2:9" ht="12.75">
      <c r="B60" s="90"/>
      <c r="C60" s="90"/>
      <c r="D60" s="71"/>
      <c r="E60" s="71"/>
      <c r="I60" s="93"/>
    </row>
    <row r="61" spans="1:9" ht="13.5" thickBot="1">
      <c r="A61" s="82" t="s">
        <v>178</v>
      </c>
      <c r="B61" s="90"/>
      <c r="C61" s="90"/>
      <c r="D61" s="71"/>
      <c r="E61" s="71"/>
      <c r="I61" s="93"/>
    </row>
    <row r="62" spans="1:9" ht="13.5" thickBot="1">
      <c r="A62" s="81" t="s">
        <v>179</v>
      </c>
      <c r="B62" s="124">
        <f>0.5*0.2</f>
        <v>0.1</v>
      </c>
      <c r="C62" s="90"/>
      <c r="D62" s="71"/>
      <c r="E62" s="71"/>
      <c r="I62" s="93"/>
    </row>
    <row r="63" spans="2:9" ht="13.5" thickBot="1">
      <c r="B63" s="96"/>
      <c r="C63" s="90"/>
      <c r="D63" s="71"/>
      <c r="E63" s="71"/>
      <c r="I63" s="93"/>
    </row>
    <row r="64" spans="1:9" ht="13.5" thickBot="1">
      <c r="A64" s="81" t="s">
        <v>32</v>
      </c>
      <c r="B64" s="124">
        <f>1-(1*0.2)</f>
        <v>0.8</v>
      </c>
      <c r="C64" s="90"/>
      <c r="D64" s="71"/>
      <c r="E64" s="71"/>
      <c r="I64" s="93"/>
    </row>
    <row r="65" spans="2:9" ht="13.5" thickBot="1">
      <c r="B65" s="96"/>
      <c r="C65" s="90"/>
      <c r="D65" s="71"/>
      <c r="E65" s="71"/>
      <c r="I65" s="93"/>
    </row>
    <row r="66" spans="1:9" ht="13.5" thickBot="1">
      <c r="A66" s="81" t="s">
        <v>33</v>
      </c>
      <c r="B66" s="124">
        <v>0</v>
      </c>
      <c r="C66" s="90"/>
      <c r="D66" s="71"/>
      <c r="E66" s="71"/>
      <c r="I66" s="93"/>
    </row>
    <row r="67" spans="2:9" ht="13.5" thickBot="1">
      <c r="B67" s="97"/>
      <c r="C67" s="91"/>
      <c r="I67" s="93"/>
    </row>
    <row r="68" spans="1:9" ht="12.75">
      <c r="A68" s="81" t="s">
        <v>34</v>
      </c>
      <c r="B68" s="125" t="s">
        <v>210</v>
      </c>
      <c r="C68" s="126">
        <v>0</v>
      </c>
      <c r="I68" s="93"/>
    </row>
    <row r="69" spans="2:9" ht="12.75">
      <c r="B69" s="127" t="s">
        <v>180</v>
      </c>
      <c r="C69" s="128">
        <f>0.2*60</f>
        <v>12</v>
      </c>
      <c r="I69" s="93"/>
    </row>
    <row r="70" spans="2:9" ht="13.5" thickBot="1">
      <c r="B70" s="129" t="s">
        <v>48</v>
      </c>
      <c r="C70" s="130">
        <f>0.4*60</f>
        <v>24</v>
      </c>
      <c r="I70" s="93"/>
    </row>
    <row r="71" spans="2:3" ht="12.75">
      <c r="B71" s="97"/>
      <c r="C71" s="70"/>
    </row>
    <row r="72" spans="2:3" ht="12.75">
      <c r="B72" s="97"/>
      <c r="C72" s="70"/>
    </row>
    <row r="73" spans="2:3" ht="12.75">
      <c r="B73" s="97"/>
      <c r="C73" s="70"/>
    </row>
    <row r="74" spans="2:3" ht="12.75">
      <c r="B74" s="97"/>
      <c r="C74" s="70"/>
    </row>
    <row r="75" ht="12.75">
      <c r="B75" s="97"/>
    </row>
    <row r="76" ht="12.75">
      <c r="B76" s="97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42">
      <selection activeCell="J104" sqref="J104"/>
    </sheetView>
  </sheetViews>
  <sheetFormatPr defaultColWidth="11.00390625" defaultRowHeight="12.75"/>
  <cols>
    <col min="1" max="1" width="6.25390625" style="134" customWidth="1"/>
    <col min="2" max="2" width="14.25390625" style="132" customWidth="1"/>
    <col min="3" max="7" width="13.375" style="133" customWidth="1"/>
    <col min="8" max="16384" width="10.75390625" style="133" customWidth="1"/>
  </cols>
  <sheetData>
    <row r="1" spans="1:11" s="143" customFormat="1" ht="15">
      <c r="A1" s="142" t="s">
        <v>138</v>
      </c>
      <c r="B1" s="143" t="s">
        <v>190</v>
      </c>
      <c r="C1" s="180" t="s">
        <v>50</v>
      </c>
      <c r="D1" s="174" t="s">
        <v>51</v>
      </c>
      <c r="E1" s="179" t="s">
        <v>123</v>
      </c>
      <c r="G1" s="174" t="s">
        <v>140</v>
      </c>
      <c r="H1" s="174" t="s">
        <v>147</v>
      </c>
      <c r="I1" s="179" t="s">
        <v>149</v>
      </c>
      <c r="J1" s="174" t="s">
        <v>148</v>
      </c>
      <c r="K1" s="174" t="s">
        <v>141</v>
      </c>
    </row>
    <row r="2" spans="1:11" s="143" customFormat="1" ht="12.75">
      <c r="A2" s="189"/>
      <c r="B2" s="189"/>
      <c r="C2" s="143">
        <v>8</v>
      </c>
      <c r="D2" s="187">
        <f>(C2-$C$12)^2</f>
        <v>1</v>
      </c>
      <c r="E2" s="184">
        <f>C2^2</f>
        <v>64</v>
      </c>
      <c r="F2" s="189"/>
      <c r="G2" s="176">
        <v>0</v>
      </c>
      <c r="H2" s="177">
        <v>2</v>
      </c>
      <c r="I2" s="146">
        <f>G2*H2</f>
        <v>0</v>
      </c>
      <c r="J2" s="144">
        <f>H2/8</f>
        <v>0.25</v>
      </c>
      <c r="K2" s="181">
        <f>G2*J2</f>
        <v>0</v>
      </c>
    </row>
    <row r="3" spans="1:11" s="143" customFormat="1" ht="12.75">
      <c r="A3" s="189"/>
      <c r="B3" s="189"/>
      <c r="C3" s="143">
        <v>0</v>
      </c>
      <c r="D3" s="187">
        <f aca="true" t="shared" si="0" ref="D3:D9">(C3-$C$12)^2</f>
        <v>81</v>
      </c>
      <c r="E3" s="184">
        <f aca="true" t="shared" si="1" ref="E3:E9">C3^2</f>
        <v>0</v>
      </c>
      <c r="F3" s="189"/>
      <c r="G3" s="176">
        <v>4</v>
      </c>
      <c r="H3" s="177">
        <v>3</v>
      </c>
      <c r="I3" s="146">
        <f>G3*H3</f>
        <v>12</v>
      </c>
      <c r="J3" s="144">
        <f>H3/8</f>
        <v>0.375</v>
      </c>
      <c r="K3" s="181">
        <f>G3*J3</f>
        <v>1.5</v>
      </c>
    </row>
    <row r="4" spans="1:11" s="143" customFormat="1" ht="12.75">
      <c r="A4" s="189"/>
      <c r="B4" s="189"/>
      <c r="C4" s="143">
        <v>4</v>
      </c>
      <c r="D4" s="187">
        <f t="shared" si="0"/>
        <v>25</v>
      </c>
      <c r="E4" s="184">
        <f t="shared" si="1"/>
        <v>16</v>
      </c>
      <c r="F4" s="189"/>
      <c r="G4" s="176">
        <v>8</v>
      </c>
      <c r="H4" s="177">
        <v>2</v>
      </c>
      <c r="I4" s="146">
        <f>G4*H4</f>
        <v>16</v>
      </c>
      <c r="J4" s="144">
        <f>H4/8</f>
        <v>0.25</v>
      </c>
      <c r="K4" s="181">
        <f>G4*J4</f>
        <v>2</v>
      </c>
    </row>
    <row r="5" spans="1:11" s="143" customFormat="1" ht="12.75">
      <c r="A5" s="146"/>
      <c r="B5" s="189"/>
      <c r="C5" s="143">
        <v>4</v>
      </c>
      <c r="D5" s="187">
        <f t="shared" si="0"/>
        <v>25</v>
      </c>
      <c r="E5" s="184">
        <f t="shared" si="1"/>
        <v>16</v>
      </c>
      <c r="F5" s="189"/>
      <c r="G5" s="176">
        <v>40</v>
      </c>
      <c r="H5" s="178">
        <v>1</v>
      </c>
      <c r="I5" s="179">
        <f>G5*H5</f>
        <v>40</v>
      </c>
      <c r="J5" s="174">
        <f>H5/8</f>
        <v>0.125</v>
      </c>
      <c r="K5" s="182">
        <f>G5*J5</f>
        <v>5</v>
      </c>
    </row>
    <row r="6" spans="1:11" s="143" customFormat="1" ht="12.75">
      <c r="A6" s="189"/>
      <c r="B6" s="189"/>
      <c r="C6" s="143">
        <v>8</v>
      </c>
      <c r="D6" s="187">
        <f t="shared" si="0"/>
        <v>1</v>
      </c>
      <c r="E6" s="184">
        <f t="shared" si="1"/>
        <v>64</v>
      </c>
      <c r="F6" s="189"/>
      <c r="G6" s="176"/>
      <c r="H6" s="177">
        <f>SUM(H2:H5)</f>
        <v>8</v>
      </c>
      <c r="I6" s="183">
        <f>SUM(I2:I5)</f>
        <v>68</v>
      </c>
      <c r="J6" s="175">
        <f>SUM(J2:J5)</f>
        <v>1</v>
      </c>
      <c r="K6" s="175">
        <f>SUM(K2:K5)</f>
        <v>8.5</v>
      </c>
    </row>
    <row r="7" spans="1:11" s="143" customFormat="1" ht="12.75">
      <c r="A7" s="189"/>
      <c r="B7" s="189"/>
      <c r="C7" s="143">
        <v>44</v>
      </c>
      <c r="D7" s="187">
        <f t="shared" si="0"/>
        <v>1225</v>
      </c>
      <c r="E7" s="184">
        <f t="shared" si="1"/>
        <v>1936</v>
      </c>
      <c r="F7" s="177"/>
      <c r="G7" s="146"/>
      <c r="H7" s="189"/>
      <c r="I7" s="146"/>
      <c r="J7" s="146"/>
      <c r="K7" s="189"/>
    </row>
    <row r="8" spans="1:11" s="143" customFormat="1" ht="12.75">
      <c r="A8" s="189"/>
      <c r="B8" s="189"/>
      <c r="C8" s="143">
        <v>0</v>
      </c>
      <c r="D8" s="187">
        <f t="shared" si="0"/>
        <v>81</v>
      </c>
      <c r="E8" s="184">
        <f t="shared" si="1"/>
        <v>0</v>
      </c>
      <c r="F8" s="177"/>
      <c r="G8" s="144"/>
      <c r="H8" s="147"/>
      <c r="I8" s="146"/>
      <c r="J8" s="146"/>
      <c r="K8" s="189"/>
    </row>
    <row r="9" spans="1:11" s="143" customFormat="1" ht="12.75">
      <c r="A9" s="189"/>
      <c r="B9" s="189"/>
      <c r="C9" s="143">
        <v>4</v>
      </c>
      <c r="D9" s="188">
        <f t="shared" si="0"/>
        <v>25</v>
      </c>
      <c r="E9" s="185">
        <f t="shared" si="1"/>
        <v>16</v>
      </c>
      <c r="F9" s="177"/>
      <c r="G9" s="144"/>
      <c r="H9" s="147"/>
      <c r="I9" s="146"/>
      <c r="J9" s="146"/>
      <c r="K9" s="189"/>
    </row>
    <row r="10" spans="1:11" s="143" customFormat="1" ht="12.75">
      <c r="A10" s="189"/>
      <c r="B10" s="189"/>
      <c r="C10" s="189"/>
      <c r="D10" s="187">
        <f>SUM(D2:D9)</f>
        <v>1464</v>
      </c>
      <c r="E10" s="186">
        <f>SUM(E2:E9)</f>
        <v>2112</v>
      </c>
      <c r="F10" s="177"/>
      <c r="G10" s="144"/>
      <c r="H10" s="147"/>
      <c r="I10" s="146"/>
      <c r="J10" s="146"/>
      <c r="K10" s="189"/>
    </row>
    <row r="11" spans="1:11" s="143" customFormat="1" ht="13.5" thickBot="1">
      <c r="A11" s="189"/>
      <c r="B11" s="189"/>
      <c r="C11" s="145"/>
      <c r="D11" s="144"/>
      <c r="E11" s="144"/>
      <c r="F11" s="144"/>
      <c r="G11" s="144"/>
      <c r="H11" s="147"/>
      <c r="I11" s="146"/>
      <c r="J11" s="146"/>
      <c r="K11" s="189"/>
    </row>
    <row r="12" spans="1:11" s="143" customFormat="1" ht="13.5" thickBot="1">
      <c r="A12" s="143" t="s">
        <v>31</v>
      </c>
      <c r="B12" s="190" t="s">
        <v>260</v>
      </c>
      <c r="C12" s="191">
        <f>AVERAGE(C2:C9)</f>
        <v>9</v>
      </c>
      <c r="D12" s="192" t="s">
        <v>42</v>
      </c>
      <c r="E12" s="193"/>
      <c r="F12" s="193"/>
      <c r="G12" s="194"/>
      <c r="H12" s="147"/>
      <c r="I12" s="146"/>
      <c r="J12" s="146"/>
      <c r="K12" s="189"/>
    </row>
    <row r="13" spans="1:11" s="143" customFormat="1" ht="13.5" thickBot="1">
      <c r="A13" s="189"/>
      <c r="B13" s="189"/>
      <c r="C13" s="145"/>
      <c r="D13" s="147"/>
      <c r="E13" s="181"/>
      <c r="F13" s="181"/>
      <c r="G13" s="181"/>
      <c r="H13" s="147"/>
      <c r="I13" s="186"/>
      <c r="J13" s="186"/>
      <c r="K13" s="189"/>
    </row>
    <row r="14" spans="1:11" s="143" customFormat="1" ht="12.75">
      <c r="A14" s="143" t="s">
        <v>32</v>
      </c>
      <c r="B14" s="195" t="s">
        <v>261</v>
      </c>
      <c r="C14" s="196">
        <f>MODE(C2:C9)</f>
        <v>4</v>
      </c>
      <c r="D14" s="189"/>
      <c r="E14" s="189"/>
      <c r="F14" s="189"/>
      <c r="G14" s="189"/>
      <c r="H14" s="189"/>
      <c r="I14" s="189"/>
      <c r="J14" s="189"/>
      <c r="K14" s="189"/>
    </row>
    <row r="15" spans="1:11" s="143" customFormat="1" ht="13.5" thickBot="1">
      <c r="A15" s="146"/>
      <c r="B15" s="150" t="s">
        <v>262</v>
      </c>
      <c r="C15" s="197">
        <f>MEDIAN(C2:C9)</f>
        <v>4</v>
      </c>
      <c r="D15" s="144"/>
      <c r="E15" s="144"/>
      <c r="F15" s="144"/>
      <c r="G15" s="146"/>
      <c r="H15" s="146"/>
      <c r="I15" s="146"/>
      <c r="J15" s="146"/>
      <c r="K15" s="189"/>
    </row>
    <row r="16" spans="1:11" s="143" customFormat="1" ht="13.5" thickBot="1">
      <c r="A16" s="186"/>
      <c r="B16" s="189"/>
      <c r="C16" s="189"/>
      <c r="D16" s="181"/>
      <c r="E16" s="181"/>
      <c r="F16" s="181"/>
      <c r="G16" s="186"/>
      <c r="H16" s="186"/>
      <c r="I16" s="186"/>
      <c r="J16" s="186"/>
      <c r="K16" s="189"/>
    </row>
    <row r="17" spans="1:10" s="143" customFormat="1" ht="15">
      <c r="A17" s="143" t="s">
        <v>33</v>
      </c>
      <c r="B17" s="148" t="s">
        <v>137</v>
      </c>
      <c r="C17" s="198">
        <f>VARP(C2:C9)</f>
        <v>183</v>
      </c>
      <c r="D17" s="199" t="s">
        <v>103</v>
      </c>
      <c r="E17" s="200"/>
      <c r="F17" s="201"/>
      <c r="G17" s="146"/>
      <c r="H17" s="146"/>
      <c r="I17" s="146"/>
      <c r="J17" s="146"/>
    </row>
    <row r="18" spans="1:10" s="143" customFormat="1" ht="13.5" thickBot="1">
      <c r="A18" s="149"/>
      <c r="B18" s="150" t="s">
        <v>139</v>
      </c>
      <c r="C18" s="202">
        <f>SQRT(C17)</f>
        <v>13.527749258468683</v>
      </c>
      <c r="D18" s="203"/>
      <c r="E18" s="204"/>
      <c r="F18" s="205"/>
      <c r="G18" s="146"/>
      <c r="H18" s="146"/>
      <c r="I18" s="146"/>
      <c r="J18" s="146"/>
    </row>
    <row r="19" spans="2:6" ht="12.75">
      <c r="B19" s="4"/>
      <c r="C19" s="136"/>
      <c r="D19" s="136"/>
      <c r="E19" s="136"/>
      <c r="F19" s="137"/>
    </row>
    <row r="20" spans="2:6" ht="12.75">
      <c r="B20" s="4"/>
      <c r="C20" s="136"/>
      <c r="D20" s="136"/>
      <c r="E20" s="136"/>
      <c r="F20" s="137"/>
    </row>
    <row r="21" spans="1:6" ht="12.75">
      <c r="A21" s="173" t="s">
        <v>146</v>
      </c>
      <c r="B21" s="4"/>
      <c r="C21" s="136"/>
      <c r="D21" s="136"/>
      <c r="E21" s="136"/>
      <c r="F21" s="137"/>
    </row>
    <row r="22" spans="2:7" ht="12.75">
      <c r="B22" s="52" t="s">
        <v>143</v>
      </c>
      <c r="C22" s="157">
        <v>7</v>
      </c>
      <c r="D22" s="4"/>
      <c r="E22" s="4"/>
      <c r="F22" s="4"/>
      <c r="G22" s="80"/>
    </row>
    <row r="23" spans="1:7" ht="15.75" thickBot="1">
      <c r="A23" s="134" t="s">
        <v>264</v>
      </c>
      <c r="B23" s="52" t="s">
        <v>144</v>
      </c>
      <c r="C23" s="151" t="s">
        <v>263</v>
      </c>
      <c r="D23" s="4" t="s">
        <v>170</v>
      </c>
      <c r="E23" s="89" t="s">
        <v>141</v>
      </c>
      <c r="F23" s="89" t="s">
        <v>142</v>
      </c>
      <c r="G23" s="80"/>
    </row>
    <row r="24" spans="2:6" ht="12.75">
      <c r="B24" s="152">
        <v>1</v>
      </c>
      <c r="C24" s="158">
        <f>B24-$C$22</f>
        <v>-6</v>
      </c>
      <c r="D24" s="161">
        <f>1/12</f>
        <v>0.08333333333333333</v>
      </c>
      <c r="E24" s="155">
        <f>C24*D24</f>
        <v>-0.5</v>
      </c>
      <c r="F24" s="155">
        <f>C24^2*D24</f>
        <v>3</v>
      </c>
    </row>
    <row r="25" spans="2:6" ht="12.75">
      <c r="B25" s="152">
        <v>2</v>
      </c>
      <c r="C25" s="159">
        <f aca="true" t="shared" si="2" ref="C25:C33">B25-$C$22</f>
        <v>-5</v>
      </c>
      <c r="D25" s="162">
        <f>1/12</f>
        <v>0.08333333333333333</v>
      </c>
      <c r="E25" s="155">
        <f aca="true" t="shared" si="3" ref="E25:E33">C25*D25</f>
        <v>-0.41666666666666663</v>
      </c>
      <c r="F25" s="155">
        <f aca="true" t="shared" si="4" ref="F25:F33">C25^2*D25</f>
        <v>2.083333333333333</v>
      </c>
    </row>
    <row r="26" spans="2:6" ht="12.75">
      <c r="B26" s="153">
        <v>3</v>
      </c>
      <c r="C26" s="159">
        <f t="shared" si="2"/>
        <v>-4</v>
      </c>
      <c r="D26" s="162">
        <f>1/12</f>
        <v>0.08333333333333333</v>
      </c>
      <c r="E26" s="155">
        <f t="shared" si="3"/>
        <v>-0.3333333333333333</v>
      </c>
      <c r="F26" s="155">
        <f t="shared" si="4"/>
        <v>1.3333333333333333</v>
      </c>
    </row>
    <row r="27" spans="2:6" ht="12.75">
      <c r="B27" s="153">
        <v>4</v>
      </c>
      <c r="C27" s="159">
        <f t="shared" si="2"/>
        <v>-3</v>
      </c>
      <c r="D27" s="162">
        <f>1/6</f>
        <v>0.16666666666666666</v>
      </c>
      <c r="E27" s="155">
        <f t="shared" si="3"/>
        <v>-0.5</v>
      </c>
      <c r="F27" s="155">
        <f t="shared" si="4"/>
        <v>1.5</v>
      </c>
    </row>
    <row r="28" spans="2:6" ht="12.75">
      <c r="B28" s="153">
        <v>5</v>
      </c>
      <c r="C28" s="159">
        <f t="shared" si="2"/>
        <v>-2</v>
      </c>
      <c r="D28" s="162">
        <f>1/12</f>
        <v>0.08333333333333333</v>
      </c>
      <c r="E28" s="155">
        <f t="shared" si="3"/>
        <v>-0.16666666666666666</v>
      </c>
      <c r="F28" s="155">
        <f t="shared" si="4"/>
        <v>0.3333333333333333</v>
      </c>
    </row>
    <row r="29" spans="2:6" ht="12.75">
      <c r="B29" s="153">
        <v>6</v>
      </c>
      <c r="C29" s="159">
        <f t="shared" si="2"/>
        <v>-1</v>
      </c>
      <c r="D29" s="162">
        <f>1/6</f>
        <v>0.16666666666666666</v>
      </c>
      <c r="E29" s="155">
        <f t="shared" si="3"/>
        <v>-0.16666666666666666</v>
      </c>
      <c r="F29" s="155">
        <f t="shared" si="4"/>
        <v>0.16666666666666666</v>
      </c>
    </row>
    <row r="30" spans="2:6" ht="12.75">
      <c r="B30" s="153">
        <v>8</v>
      </c>
      <c r="C30" s="159">
        <f t="shared" si="2"/>
        <v>1</v>
      </c>
      <c r="D30" s="162">
        <f>1/12</f>
        <v>0.08333333333333333</v>
      </c>
      <c r="E30" s="155">
        <f t="shared" si="3"/>
        <v>0.08333333333333333</v>
      </c>
      <c r="F30" s="155">
        <f t="shared" si="4"/>
        <v>0.08333333333333333</v>
      </c>
    </row>
    <row r="31" spans="2:6" ht="12.75">
      <c r="B31" s="169">
        <v>10</v>
      </c>
      <c r="C31" s="159">
        <f>B31-$C$22</f>
        <v>3</v>
      </c>
      <c r="D31" s="162">
        <f>1/12</f>
        <v>0.08333333333333333</v>
      </c>
      <c r="E31" s="172">
        <f>C31*D31</f>
        <v>0.25</v>
      </c>
      <c r="F31" s="172">
        <f>C31^2*D31</f>
        <v>0.75</v>
      </c>
    </row>
    <row r="32" spans="2:6" ht="12.75">
      <c r="B32" s="152">
        <v>12</v>
      </c>
      <c r="C32" s="159">
        <f t="shared" si="2"/>
        <v>5</v>
      </c>
      <c r="D32" s="162">
        <f>1/12</f>
        <v>0.08333333333333333</v>
      </c>
      <c r="E32" s="155">
        <f t="shared" si="3"/>
        <v>0.41666666666666663</v>
      </c>
      <c r="F32" s="155">
        <f t="shared" si="4"/>
        <v>2.083333333333333</v>
      </c>
    </row>
    <row r="33" spans="2:6" ht="13.5" thickBot="1">
      <c r="B33" s="152">
        <v>20</v>
      </c>
      <c r="C33" s="160">
        <f t="shared" si="2"/>
        <v>13</v>
      </c>
      <c r="D33" s="163">
        <f>1/12</f>
        <v>0.08333333333333333</v>
      </c>
      <c r="E33" s="156">
        <f t="shared" si="3"/>
        <v>1.0833333333333333</v>
      </c>
      <c r="F33" s="156">
        <f t="shared" si="4"/>
        <v>14.083333333333332</v>
      </c>
    </row>
    <row r="34" spans="3:6" ht="12.75">
      <c r="C34" s="4"/>
      <c r="D34" s="154">
        <f>SUM(D24:D33)</f>
        <v>1</v>
      </c>
      <c r="E34" s="154">
        <f>SUM(E24:E33)</f>
        <v>-0.2500000000000002</v>
      </c>
      <c r="F34" s="154">
        <f>SUM(F24:F33)</f>
        <v>25.416666666666664</v>
      </c>
    </row>
    <row r="35" ht="12.75">
      <c r="B35" s="4"/>
    </row>
    <row r="36" spans="1:3" ht="12.75">
      <c r="A36" s="134" t="s">
        <v>265</v>
      </c>
      <c r="B36" s="52" t="s">
        <v>266</v>
      </c>
      <c r="C36" s="164">
        <f>E34</f>
        <v>-0.2500000000000002</v>
      </c>
    </row>
    <row r="37" spans="2:3" ht="15">
      <c r="B37" s="165" t="s">
        <v>198</v>
      </c>
      <c r="C37" s="166">
        <f>F34-C36^2</f>
        <v>25.354166666666664</v>
      </c>
    </row>
    <row r="38" spans="2:3" ht="12.75">
      <c r="B38" s="165" t="s">
        <v>197</v>
      </c>
      <c r="C38" s="167">
        <f>SQRT(C37)</f>
        <v>5.035292113340264</v>
      </c>
    </row>
    <row r="40" spans="2:3" ht="12.75">
      <c r="B40" s="145" t="s">
        <v>145</v>
      </c>
      <c r="C40" s="168">
        <f>C36-C38</f>
        <v>-5.285292113340264</v>
      </c>
    </row>
    <row r="41" spans="1:5" ht="12.75">
      <c r="A41" s="131"/>
      <c r="B41" s="145" t="s">
        <v>21</v>
      </c>
      <c r="C41" s="168">
        <f>C36+C38</f>
        <v>4.785292113340264</v>
      </c>
      <c r="D41" s="134"/>
      <c r="E41" s="80"/>
    </row>
    <row r="42" spans="4:5" ht="12.75">
      <c r="D42" s="134"/>
      <c r="E42" s="134"/>
    </row>
    <row r="43" spans="2:9" ht="39">
      <c r="B43" s="208" t="s">
        <v>105</v>
      </c>
      <c r="C43" s="170" t="s">
        <v>170</v>
      </c>
      <c r="E43" s="139"/>
      <c r="I43" s="4"/>
    </row>
    <row r="44" spans="2:9" ht="12.75">
      <c r="B44" s="169">
        <f aca="true" t="shared" si="5" ref="B44:C49">C25</f>
        <v>-5</v>
      </c>
      <c r="C44" s="171">
        <f t="shared" si="5"/>
        <v>0.08333333333333333</v>
      </c>
      <c r="E44" s="139"/>
      <c r="I44" s="4"/>
    </row>
    <row r="45" spans="2:9" ht="12.75">
      <c r="B45" s="169">
        <f t="shared" si="5"/>
        <v>-4</v>
      </c>
      <c r="C45" s="171">
        <f t="shared" si="5"/>
        <v>0.08333333333333333</v>
      </c>
      <c r="E45" s="139"/>
      <c r="I45" s="4"/>
    </row>
    <row r="46" spans="2:9" ht="12.75">
      <c r="B46" s="169">
        <f t="shared" si="5"/>
        <v>-3</v>
      </c>
      <c r="C46" s="171">
        <f t="shared" si="5"/>
        <v>0.16666666666666666</v>
      </c>
      <c r="E46" s="139"/>
      <c r="I46" s="4"/>
    </row>
    <row r="47" spans="2:9" ht="12.75">
      <c r="B47" s="169">
        <f t="shared" si="5"/>
        <v>-2</v>
      </c>
      <c r="C47" s="171">
        <f t="shared" si="5"/>
        <v>0.08333333333333333</v>
      </c>
      <c r="E47" s="139"/>
      <c r="I47" s="4"/>
    </row>
    <row r="48" spans="2:9" ht="12.75">
      <c r="B48" s="169">
        <f t="shared" si="5"/>
        <v>-1</v>
      </c>
      <c r="C48" s="171">
        <f t="shared" si="5"/>
        <v>0.16666666666666666</v>
      </c>
      <c r="E48" s="138"/>
      <c r="I48" s="4"/>
    </row>
    <row r="49" spans="2:9" ht="12.75">
      <c r="B49" s="169">
        <f t="shared" si="5"/>
        <v>1</v>
      </c>
      <c r="C49" s="171">
        <f t="shared" si="5"/>
        <v>0.08333333333333333</v>
      </c>
      <c r="E49" s="138"/>
      <c r="I49" s="4"/>
    </row>
    <row r="50" spans="2:9" ht="13.5" thickBot="1">
      <c r="B50" s="169">
        <v>3</v>
      </c>
      <c r="C50" s="172">
        <f>D32</f>
        <v>0.08333333333333333</v>
      </c>
      <c r="E50" s="138"/>
      <c r="I50" s="4"/>
    </row>
    <row r="51" spans="2:9" ht="27" thickBot="1">
      <c r="B51" s="207" t="s">
        <v>43</v>
      </c>
      <c r="C51" s="206">
        <f>SUM(C44:C50)</f>
        <v>0.75</v>
      </c>
      <c r="D51" s="138"/>
      <c r="E51" s="138"/>
      <c r="I51" s="4"/>
    </row>
    <row r="52" spans="1:9" ht="13.5" thickBot="1">
      <c r="A52" s="131"/>
      <c r="B52" s="135"/>
      <c r="C52" s="135"/>
      <c r="D52" s="138"/>
      <c r="E52" s="138"/>
      <c r="I52" s="4"/>
    </row>
    <row r="53" spans="1:9" ht="13.5" thickBot="1">
      <c r="A53" s="134" t="s">
        <v>34</v>
      </c>
      <c r="B53" s="122" t="s">
        <v>106</v>
      </c>
      <c r="C53" s="209">
        <f>1000*E34</f>
        <v>-250.00000000000023</v>
      </c>
      <c r="D53" s="138"/>
      <c r="E53" s="138"/>
      <c r="I53" s="4"/>
    </row>
    <row r="54" spans="2:9" ht="12.75">
      <c r="B54" s="52"/>
      <c r="C54" s="135"/>
      <c r="D54" s="138"/>
      <c r="E54" s="138"/>
      <c r="I54" s="4"/>
    </row>
    <row r="55" spans="2:9" ht="12.75">
      <c r="B55" s="135"/>
      <c r="C55" s="135"/>
      <c r="D55" s="138"/>
      <c r="E55" s="138"/>
      <c r="I55" s="4"/>
    </row>
    <row r="56" spans="1:9" ht="12.75">
      <c r="A56" s="131" t="s">
        <v>168</v>
      </c>
      <c r="E56" s="138"/>
      <c r="I56" s="4"/>
    </row>
    <row r="57" spans="1:9" ht="12.75">
      <c r="A57" s="134" t="s">
        <v>31</v>
      </c>
      <c r="B57" s="135"/>
      <c r="D57" s="169" t="s">
        <v>107</v>
      </c>
      <c r="E57" s="210">
        <v>3</v>
      </c>
      <c r="I57" s="4"/>
    </row>
    <row r="58" spans="2:9" ht="13.5" thickBot="1">
      <c r="B58" s="4"/>
      <c r="D58" s="169" t="s">
        <v>108</v>
      </c>
      <c r="E58" s="211">
        <f>9+25</f>
        <v>34</v>
      </c>
      <c r="I58" s="4"/>
    </row>
    <row r="59" spans="2:9" ht="13.5" thickBot="1">
      <c r="B59" s="4"/>
      <c r="C59" s="212"/>
      <c r="D59" s="213" t="s">
        <v>191</v>
      </c>
      <c r="E59" s="214">
        <f>E58^E57</f>
        <v>39304</v>
      </c>
      <c r="I59" s="4"/>
    </row>
    <row r="60" spans="2:9" ht="13.5" thickBot="1">
      <c r="B60" s="4"/>
      <c r="C60" s="135"/>
      <c r="D60" s="138"/>
      <c r="E60" s="138"/>
      <c r="I60" s="4"/>
    </row>
    <row r="61" spans="1:9" ht="13.5" thickBot="1">
      <c r="A61" s="134" t="s">
        <v>192</v>
      </c>
      <c r="B61" s="168"/>
      <c r="C61" s="212"/>
      <c r="D61" s="213" t="s">
        <v>191</v>
      </c>
      <c r="E61" s="214">
        <f>9*25*9+25*9*25</f>
        <v>7650</v>
      </c>
      <c r="I61" s="4"/>
    </row>
    <row r="62" spans="2:9" ht="12.75">
      <c r="B62" s="172"/>
      <c r="C62" s="135"/>
      <c r="D62" s="134"/>
      <c r="E62" s="215"/>
      <c r="I62" s="4"/>
    </row>
    <row r="63" spans="1:9" ht="12.75">
      <c r="A63" s="134" t="s">
        <v>33</v>
      </c>
      <c r="D63" s="169" t="s">
        <v>193</v>
      </c>
      <c r="E63" s="216">
        <f>(E58-1)^E57</f>
        <v>35937</v>
      </c>
      <c r="I63" s="4"/>
    </row>
    <row r="64" spans="3:9" ht="13.5" thickBot="1">
      <c r="C64" s="157"/>
      <c r="D64" s="169" t="s">
        <v>194</v>
      </c>
      <c r="E64" s="217">
        <f>E63/E59</f>
        <v>0.9143344188886627</v>
      </c>
      <c r="I64" s="4"/>
    </row>
    <row r="65" spans="3:9" ht="13.5" thickBot="1">
      <c r="C65" s="55"/>
      <c r="D65" s="56" t="s">
        <v>195</v>
      </c>
      <c r="E65" s="218">
        <f>1-E64</f>
        <v>0.08566558111133726</v>
      </c>
      <c r="I65" s="4"/>
    </row>
    <row r="66" spans="3:9" ht="12.75">
      <c r="C66" s="140"/>
      <c r="I66" s="4"/>
    </row>
    <row r="67" ht="12.75">
      <c r="C67" s="141"/>
    </row>
    <row r="68" spans="1:3" ht="12.75">
      <c r="A68" s="131" t="s">
        <v>196</v>
      </c>
      <c r="B68" s="132" t="s">
        <v>54</v>
      </c>
      <c r="C68" s="220">
        <v>0.3</v>
      </c>
    </row>
    <row r="69" spans="2:3" ht="12.75">
      <c r="B69" s="132" t="s">
        <v>55</v>
      </c>
      <c r="C69" s="220">
        <f>1-C68</f>
        <v>0.7</v>
      </c>
    </row>
    <row r="70" spans="2:3" ht="12.75">
      <c r="B70" s="132" t="s">
        <v>57</v>
      </c>
      <c r="C70" s="219">
        <v>20</v>
      </c>
    </row>
    <row r="71" ht="12.75">
      <c r="C71" s="219"/>
    </row>
    <row r="72" spans="1:3" ht="13.5" thickBot="1">
      <c r="A72" s="134" t="s">
        <v>31</v>
      </c>
      <c r="B72" s="132" t="s">
        <v>58</v>
      </c>
      <c r="C72" s="219">
        <v>6</v>
      </c>
    </row>
    <row r="73" spans="2:4" ht="13.5" thickBot="1">
      <c r="B73" s="222" t="s">
        <v>56</v>
      </c>
      <c r="C73" s="223">
        <f>COMBIN($C$70,C72)*$C$68^C72*$C$69^($C$70-C72)</f>
        <v>0.19163898275344235</v>
      </c>
      <c r="D73" s="221">
        <f>BINOMDIST(C72,C70,C68,FALSE)</f>
        <v>0.19163898275344216</v>
      </c>
    </row>
    <row r="75" spans="2:3" ht="12.75">
      <c r="B75" s="132" t="s">
        <v>58</v>
      </c>
      <c r="C75" s="224">
        <v>0</v>
      </c>
    </row>
    <row r="76" spans="2:3" ht="13.5" thickBot="1">
      <c r="B76" s="132" t="s">
        <v>59</v>
      </c>
      <c r="C76" s="220">
        <f>COMBIN($C$70,C75)*$C$68^C75*$C$69^($C$70-C75)</f>
        <v>0.0007979226629761188</v>
      </c>
    </row>
    <row r="77" spans="2:3" ht="27" thickBot="1">
      <c r="B77" s="225" t="s">
        <v>60</v>
      </c>
      <c r="C77" s="226">
        <f>1-C76</f>
        <v>0.9992020773370239</v>
      </c>
    </row>
    <row r="79" spans="1:3" ht="12.75">
      <c r="A79" s="134" t="s">
        <v>32</v>
      </c>
      <c r="B79" s="132" t="s">
        <v>54</v>
      </c>
      <c r="C79" s="220">
        <v>0.3</v>
      </c>
    </row>
    <row r="80" spans="2:3" ht="12.75">
      <c r="B80" s="132" t="s">
        <v>55</v>
      </c>
      <c r="C80" s="220">
        <f>1-C79</f>
        <v>0.7</v>
      </c>
    </row>
    <row r="81" spans="2:3" ht="12.75">
      <c r="B81" s="132" t="s">
        <v>57</v>
      </c>
      <c r="C81" s="219">
        <v>250</v>
      </c>
    </row>
    <row r="82" ht="13.5" thickBot="1"/>
    <row r="83" spans="2:3" ht="12.75">
      <c r="B83" s="227" t="s">
        <v>61</v>
      </c>
      <c r="C83" s="228">
        <f>C81*C79</f>
        <v>75</v>
      </c>
    </row>
    <row r="84" spans="2:3" ht="12.75">
      <c r="B84" s="229" t="s">
        <v>62</v>
      </c>
      <c r="C84" s="230">
        <f>C81*C79*C80</f>
        <v>52.5</v>
      </c>
    </row>
    <row r="85" spans="2:3" ht="13.5" thickBot="1">
      <c r="B85" s="231" t="s">
        <v>63</v>
      </c>
      <c r="C85" s="232">
        <f>SQRT(C84)</f>
        <v>7.245688373094719</v>
      </c>
    </row>
    <row r="87" spans="1:3" ht="12.75">
      <c r="A87" s="134" t="s">
        <v>33</v>
      </c>
      <c r="B87" s="132" t="s">
        <v>54</v>
      </c>
      <c r="C87" s="220">
        <v>0.3</v>
      </c>
    </row>
    <row r="88" spans="2:3" ht="12.75">
      <c r="B88" s="132" t="s">
        <v>55</v>
      </c>
      <c r="C88" s="220">
        <f>1-C87</f>
        <v>0.7</v>
      </c>
    </row>
    <row r="89" spans="2:3" ht="12.75">
      <c r="B89" s="132" t="s">
        <v>57</v>
      </c>
      <c r="C89" s="219">
        <v>250</v>
      </c>
    </row>
    <row r="90" ht="13.5" thickBot="1"/>
    <row r="91" spans="2:3" ht="12.75">
      <c r="B91" s="227" t="s">
        <v>61</v>
      </c>
      <c r="C91" s="228">
        <f>C87</f>
        <v>0.3</v>
      </c>
    </row>
    <row r="92" spans="2:3" ht="12.75">
      <c r="B92" s="229" t="s">
        <v>62</v>
      </c>
      <c r="C92" s="230">
        <f>(C87*C88)/C89</f>
        <v>0.0008399999999999999</v>
      </c>
    </row>
    <row r="93" spans="2:3" ht="13.5" thickBot="1">
      <c r="B93" s="231" t="s">
        <v>63</v>
      </c>
      <c r="C93" s="232">
        <f>SQRT(C92)</f>
        <v>0.028982753492378877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zoomScale="125" zoomScaleNormal="125" workbookViewId="0" topLeftCell="A33">
      <selection activeCell="I68" sqref="I68"/>
    </sheetView>
  </sheetViews>
  <sheetFormatPr defaultColWidth="11.00390625" defaultRowHeight="12.75"/>
  <cols>
    <col min="1" max="1" width="4.25390625" style="249" customWidth="1"/>
    <col min="2" max="2" width="34.375" style="235" customWidth="1"/>
    <col min="3" max="10" width="11.00390625" style="236" customWidth="1"/>
    <col min="11" max="16384" width="10.75390625" style="236" customWidth="1"/>
  </cols>
  <sheetData>
    <row r="1" ht="15" thickBot="1">
      <c r="A1" s="234" t="s">
        <v>303</v>
      </c>
    </row>
    <row r="2" spans="1:6" s="238" customFormat="1" ht="46.5" customHeight="1" thickBot="1">
      <c r="A2" s="237" t="s">
        <v>31</v>
      </c>
      <c r="B2" s="487" t="s">
        <v>267</v>
      </c>
      <c r="C2" s="488"/>
      <c r="D2" s="488"/>
      <c r="E2" s="488"/>
      <c r="F2" s="489"/>
    </row>
    <row r="3" spans="1:6" s="238" customFormat="1" ht="21" customHeight="1" thickBot="1">
      <c r="A3" s="237"/>
      <c r="B3" s="272"/>
      <c r="C3" s="272"/>
      <c r="D3" s="272"/>
      <c r="E3" s="272"/>
      <c r="F3" s="272"/>
    </row>
    <row r="4" spans="1:6" s="238" customFormat="1" ht="46.5" customHeight="1" thickBot="1">
      <c r="A4" s="237" t="s">
        <v>268</v>
      </c>
      <c r="B4" s="487" t="s">
        <v>97</v>
      </c>
      <c r="C4" s="501"/>
      <c r="D4" s="501"/>
      <c r="E4" s="501"/>
      <c r="F4" s="502"/>
    </row>
    <row r="5" spans="3:7" s="238" customFormat="1" ht="13.5">
      <c r="C5" s="239"/>
      <c r="F5" s="490"/>
      <c r="G5" s="491"/>
    </row>
    <row r="6" spans="1:7" s="238" customFormat="1" ht="13.5">
      <c r="A6" s="238" t="s">
        <v>269</v>
      </c>
      <c r="B6" s="238" t="s">
        <v>364</v>
      </c>
      <c r="C6" s="239">
        <v>0.6</v>
      </c>
      <c r="D6" s="240"/>
      <c r="F6" s="241"/>
      <c r="G6" s="242"/>
    </row>
    <row r="7" spans="2:9" s="238" customFormat="1" ht="13.5">
      <c r="B7" s="238" t="s">
        <v>181</v>
      </c>
      <c r="C7" s="239">
        <f>1-C6</f>
        <v>0.4</v>
      </c>
      <c r="F7" s="243"/>
      <c r="G7" s="243"/>
      <c r="H7" s="243"/>
      <c r="I7" s="243"/>
    </row>
    <row r="8" spans="1:10" s="238" customFormat="1" ht="13.5">
      <c r="A8" s="244"/>
      <c r="B8" s="238" t="s">
        <v>57</v>
      </c>
      <c r="C8" s="245">
        <v>10</v>
      </c>
      <c r="D8" s="240"/>
      <c r="E8" s="240"/>
      <c r="F8" s="241"/>
      <c r="G8" s="241"/>
      <c r="H8" s="241"/>
      <c r="I8" s="241"/>
      <c r="J8" s="241"/>
    </row>
    <row r="9" spans="2:10" s="238" customFormat="1" ht="13.5">
      <c r="B9" s="238" t="s">
        <v>365</v>
      </c>
      <c r="C9" s="239">
        <f>C6</f>
        <v>0.6</v>
      </c>
      <c r="D9" s="240"/>
      <c r="E9" s="240"/>
      <c r="F9" s="241"/>
      <c r="G9" s="241"/>
      <c r="H9" s="241"/>
      <c r="I9" s="241"/>
      <c r="J9" s="241"/>
    </row>
    <row r="10" spans="2:10" s="238" customFormat="1" ht="13.5">
      <c r="B10" s="240"/>
      <c r="D10" s="240"/>
      <c r="E10" s="240"/>
      <c r="F10" s="241"/>
      <c r="G10" s="241"/>
      <c r="H10" s="241"/>
      <c r="I10" s="241"/>
      <c r="J10" s="241"/>
    </row>
    <row r="11" spans="1:10" s="238" customFormat="1" ht="13.5">
      <c r="A11" s="246"/>
      <c r="B11" s="238" t="s">
        <v>366</v>
      </c>
      <c r="C11" s="238" t="s">
        <v>109</v>
      </c>
      <c r="D11" s="241" t="s">
        <v>110</v>
      </c>
      <c r="E11" s="241" t="s">
        <v>111</v>
      </c>
      <c r="F11" s="241"/>
      <c r="G11" s="241"/>
      <c r="H11" s="241"/>
      <c r="I11" s="241"/>
      <c r="J11" s="241"/>
    </row>
    <row r="12" spans="3:10" s="238" customFormat="1" ht="13.5">
      <c r="C12" s="238">
        <v>0</v>
      </c>
      <c r="D12" s="247">
        <f>BINOMDIST(C12,$C$8,$C$6,FALSE)</f>
        <v>0.00010485760000000014</v>
      </c>
      <c r="E12" s="247">
        <f>BINOMDIST(C12,$C$8,$C$6,TRUE)</f>
        <v>0.00010485760000000014</v>
      </c>
      <c r="F12" s="241"/>
      <c r="G12" s="241"/>
      <c r="H12" s="241"/>
      <c r="I12" s="241"/>
      <c r="J12" s="241"/>
    </row>
    <row r="13" spans="1:10" s="238" customFormat="1" ht="15" thickBot="1">
      <c r="A13" s="248"/>
      <c r="C13" s="238">
        <v>1</v>
      </c>
      <c r="D13" s="247">
        <f aca="true" t="shared" si="0" ref="D13:D22">BINOMDIST(C13,$C$8,$C$6,FALSE)</f>
        <v>0.0015728640000000006</v>
      </c>
      <c r="E13" s="247">
        <f>BINOMDIST(C13,$C$8,$C$6,TRUE)</f>
        <v>0.0016777216000000007</v>
      </c>
      <c r="F13" s="241"/>
      <c r="G13" s="241"/>
      <c r="H13" s="241"/>
      <c r="I13" s="241"/>
      <c r="J13" s="241"/>
    </row>
    <row r="14" spans="2:10" s="238" customFormat="1" ht="15" thickBot="1">
      <c r="B14" s="239"/>
      <c r="C14" s="301">
        <v>2</v>
      </c>
      <c r="D14" s="302">
        <f t="shared" si="0"/>
        <v>0.010616832000000005</v>
      </c>
      <c r="E14" s="303">
        <f aca="true" t="shared" si="1" ref="E14:E22">BINOMDIST(C14,$C$8,$C$6,TRUE)</f>
        <v>0.012294553600000006</v>
      </c>
      <c r="F14" s="241"/>
      <c r="G14" s="241"/>
      <c r="H14" s="241"/>
      <c r="I14" s="241"/>
      <c r="J14" s="241"/>
    </row>
    <row r="15" spans="3:10" s="238" customFormat="1" ht="13.5">
      <c r="C15" s="238">
        <v>3</v>
      </c>
      <c r="D15" s="247">
        <f t="shared" si="0"/>
        <v>0.04246732800000002</v>
      </c>
      <c r="E15" s="247">
        <f t="shared" si="1"/>
        <v>0.05476188160000003</v>
      </c>
      <c r="F15" s="241"/>
      <c r="G15" s="241"/>
      <c r="H15" s="241"/>
      <c r="I15" s="241"/>
      <c r="J15" s="241"/>
    </row>
    <row r="16" spans="3:9" s="238" customFormat="1" ht="13.5">
      <c r="C16" s="238">
        <v>4</v>
      </c>
      <c r="D16" s="247">
        <f t="shared" si="0"/>
        <v>0.11147673600000003</v>
      </c>
      <c r="E16" s="247">
        <f t="shared" si="1"/>
        <v>0.16623861760000005</v>
      </c>
      <c r="H16" s="243"/>
      <c r="I16" s="243"/>
    </row>
    <row r="17" spans="2:5" s="238" customFormat="1" ht="13.5">
      <c r="B17" s="240"/>
      <c r="C17" s="238">
        <v>5</v>
      </c>
      <c r="D17" s="247">
        <f t="shared" si="0"/>
        <v>0.20065812480000017</v>
      </c>
      <c r="E17" s="247">
        <f t="shared" si="1"/>
        <v>0.36689674240000025</v>
      </c>
    </row>
    <row r="18" spans="2:5" s="238" customFormat="1" ht="13.5">
      <c r="B18" s="240"/>
      <c r="C18" s="238">
        <v>6</v>
      </c>
      <c r="D18" s="247">
        <f t="shared" si="0"/>
        <v>0.250822656</v>
      </c>
      <c r="E18" s="247">
        <f t="shared" si="1"/>
        <v>0.6177193984000002</v>
      </c>
    </row>
    <row r="19" spans="3:5" s="238" customFormat="1" ht="13.5">
      <c r="C19" s="238">
        <v>7</v>
      </c>
      <c r="D19" s="247">
        <f t="shared" si="0"/>
        <v>0.21499084799999993</v>
      </c>
      <c r="E19" s="247">
        <f t="shared" si="1"/>
        <v>0.8327102464000001</v>
      </c>
    </row>
    <row r="20" spans="2:7" s="238" customFormat="1" ht="13.5">
      <c r="B20" s="244"/>
      <c r="C20" s="238">
        <v>8</v>
      </c>
      <c r="D20" s="247">
        <f t="shared" si="0"/>
        <v>0.12093235199999998</v>
      </c>
      <c r="E20" s="247">
        <f t="shared" si="1"/>
        <v>0.9536425984000001</v>
      </c>
      <c r="F20" s="490"/>
      <c r="G20" s="491"/>
    </row>
    <row r="21" spans="2:7" s="238" customFormat="1" ht="13.5">
      <c r="B21" s="244"/>
      <c r="C21" s="238">
        <v>9</v>
      </c>
      <c r="D21" s="247">
        <f t="shared" si="0"/>
        <v>0.040310783999999995</v>
      </c>
      <c r="E21" s="247">
        <f>BINOMDIST(C21,$C$8,$C$6,TRUE)</f>
        <v>0.9939533824000001</v>
      </c>
      <c r="F21" s="490"/>
      <c r="G21" s="491"/>
    </row>
    <row r="22" spans="2:7" s="238" customFormat="1" ht="13.5">
      <c r="B22" s="244"/>
      <c r="C22" s="238">
        <v>10</v>
      </c>
      <c r="D22" s="247">
        <f t="shared" si="0"/>
        <v>0.0060466176</v>
      </c>
      <c r="E22" s="247">
        <f t="shared" si="1"/>
        <v>1</v>
      </c>
      <c r="F22" s="490"/>
      <c r="G22" s="491"/>
    </row>
    <row r="23" spans="4:9" s="238" customFormat="1" ht="13.5">
      <c r="D23" s="243"/>
      <c r="E23" s="243"/>
      <c r="F23" s="243"/>
      <c r="G23" s="243"/>
      <c r="H23" s="243"/>
      <c r="I23" s="243"/>
    </row>
    <row r="24" spans="2:10" s="238" customFormat="1" ht="15" thickBot="1">
      <c r="B24" s="246" t="s">
        <v>367</v>
      </c>
      <c r="D24" s="243"/>
      <c r="E24" s="243"/>
      <c r="F24" s="243"/>
      <c r="G24" s="243"/>
      <c r="H24" s="243"/>
      <c r="I24" s="243"/>
      <c r="J24" s="241"/>
    </row>
    <row r="25" spans="2:10" s="238" customFormat="1" ht="13.5">
      <c r="B25" s="276" t="s">
        <v>104</v>
      </c>
      <c r="C25" s="277"/>
      <c r="D25" s="278"/>
      <c r="E25" s="278"/>
      <c r="F25" s="279"/>
      <c r="G25" s="243"/>
      <c r="H25" s="243"/>
      <c r="I25" s="243"/>
      <c r="J25" s="241"/>
    </row>
    <row r="26" spans="2:6" ht="15.75" thickBot="1">
      <c r="B26" s="280" t="s">
        <v>112</v>
      </c>
      <c r="C26" s="281">
        <f>E14</f>
        <v>0.012294553600000006</v>
      </c>
      <c r="D26" s="282"/>
      <c r="E26" s="282"/>
      <c r="F26" s="283"/>
    </row>
    <row r="27" spans="1:11" s="238" customFormat="1" ht="15" thickBot="1">
      <c r="A27" s="248"/>
      <c r="D27" s="250"/>
      <c r="E27" s="243"/>
      <c r="G27" s="250"/>
      <c r="H27" s="250"/>
      <c r="I27" s="243"/>
      <c r="J27" s="250"/>
      <c r="K27" s="250"/>
    </row>
    <row r="28" spans="1:11" s="238" customFormat="1" ht="30" customHeight="1">
      <c r="A28" s="251" t="s">
        <v>113</v>
      </c>
      <c r="B28" s="495" t="s">
        <v>258</v>
      </c>
      <c r="C28" s="496"/>
      <c r="D28" s="496"/>
      <c r="E28" s="497"/>
      <c r="G28" s="243"/>
      <c r="H28" s="243"/>
      <c r="I28" s="243"/>
      <c r="J28" s="250"/>
      <c r="K28" s="250"/>
    </row>
    <row r="29" spans="1:11" s="238" customFormat="1" ht="30" customHeight="1" thickBot="1">
      <c r="A29" s="251"/>
      <c r="B29" s="492" t="s">
        <v>259</v>
      </c>
      <c r="C29" s="493"/>
      <c r="D29" s="493"/>
      <c r="E29" s="494"/>
      <c r="G29" s="243"/>
      <c r="H29" s="243"/>
      <c r="I29" s="243"/>
      <c r="J29" s="250"/>
      <c r="K29" s="250"/>
    </row>
    <row r="30" spans="4:11" s="238" customFormat="1" ht="13.5">
      <c r="D30" s="252"/>
      <c r="E30" s="243"/>
      <c r="G30" s="243"/>
      <c r="H30" s="243"/>
      <c r="I30" s="243"/>
      <c r="J30" s="250"/>
      <c r="K30" s="250"/>
    </row>
    <row r="31" spans="4:11" s="238" customFormat="1" ht="13.5">
      <c r="D31" s="299"/>
      <c r="E31" s="243"/>
      <c r="G31" s="243"/>
      <c r="H31" s="243"/>
      <c r="I31" s="243"/>
      <c r="J31" s="300"/>
      <c r="K31" s="300"/>
    </row>
    <row r="32" spans="1:11" s="238" customFormat="1" ht="15" thickBot="1">
      <c r="A32" s="248" t="s">
        <v>114</v>
      </c>
      <c r="D32" s="252"/>
      <c r="E32" s="243"/>
      <c r="G32" s="243"/>
      <c r="H32" s="243"/>
      <c r="I32" s="243"/>
      <c r="J32" s="250"/>
      <c r="K32" s="250"/>
    </row>
    <row r="33" spans="1:11" s="238" customFormat="1" ht="15">
      <c r="A33" s="238" t="s">
        <v>115</v>
      </c>
      <c r="B33" s="284" t="s">
        <v>126</v>
      </c>
      <c r="C33" s="285">
        <v>120</v>
      </c>
      <c r="D33" s="252"/>
      <c r="E33" s="243"/>
      <c r="G33" s="243"/>
      <c r="H33" s="243"/>
      <c r="I33" s="243"/>
      <c r="J33" s="250"/>
      <c r="K33" s="250"/>
    </row>
    <row r="34" spans="2:11" s="238" customFormat="1" ht="15">
      <c r="B34" s="286" t="s">
        <v>304</v>
      </c>
      <c r="C34" s="287">
        <v>15</v>
      </c>
      <c r="D34" s="252"/>
      <c r="E34" s="243"/>
      <c r="G34" s="243"/>
      <c r="H34" s="243"/>
      <c r="I34" s="243"/>
      <c r="J34" s="250"/>
      <c r="K34" s="250"/>
    </row>
    <row r="35" spans="2:11" s="238" customFormat="1" ht="15">
      <c r="B35" s="286" t="s">
        <v>116</v>
      </c>
      <c r="C35" s="287">
        <f>C34^2</f>
        <v>225</v>
      </c>
      <c r="D35" s="252"/>
      <c r="E35" s="243"/>
      <c r="G35" s="243"/>
      <c r="H35" s="243"/>
      <c r="I35" s="243"/>
      <c r="J35" s="250"/>
      <c r="K35" s="250"/>
    </row>
    <row r="36" spans="2:11" s="238" customFormat="1" ht="15">
      <c r="B36" s="286"/>
      <c r="C36" s="287"/>
      <c r="D36" s="252"/>
      <c r="E36" s="243"/>
      <c r="G36" s="243"/>
      <c r="H36" s="243"/>
      <c r="I36" s="243"/>
      <c r="J36" s="250"/>
      <c r="K36" s="250"/>
    </row>
    <row r="37" spans="2:11" s="238" customFormat="1" ht="15.75" thickBot="1">
      <c r="B37" s="288"/>
      <c r="C37" s="289"/>
      <c r="D37" s="252"/>
      <c r="E37" s="243"/>
      <c r="G37" s="243"/>
      <c r="H37" s="243"/>
      <c r="I37" s="243"/>
      <c r="J37" s="250"/>
      <c r="K37" s="250"/>
    </row>
    <row r="38" spans="2:10" s="238" customFormat="1" ht="15">
      <c r="B38" s="253"/>
      <c r="C38" s="246"/>
      <c r="D38" s="252"/>
      <c r="E38" s="243"/>
      <c r="F38" s="243"/>
      <c r="G38" s="243"/>
      <c r="I38" s="243"/>
      <c r="J38" s="243"/>
    </row>
    <row r="39" spans="2:10" s="238" customFormat="1" ht="15">
      <c r="B39" s="253"/>
      <c r="C39" s="246"/>
      <c r="D39" s="252"/>
      <c r="E39" s="243"/>
      <c r="F39" s="243"/>
      <c r="G39" s="250"/>
      <c r="H39" s="254"/>
      <c r="I39" s="243"/>
      <c r="J39" s="243"/>
    </row>
    <row r="40" spans="2:10" s="238" customFormat="1" ht="15">
      <c r="B40" s="253"/>
      <c r="C40" s="246"/>
      <c r="D40" s="252"/>
      <c r="E40" s="243"/>
      <c r="F40" s="243"/>
      <c r="G40" s="250"/>
      <c r="H40" s="254"/>
      <c r="I40" s="243"/>
      <c r="J40" s="243"/>
    </row>
    <row r="41" spans="2:10" s="238" customFormat="1" ht="15.75" thickBot="1">
      <c r="B41" s="253"/>
      <c r="C41" s="246"/>
      <c r="D41" s="252"/>
      <c r="E41" s="243"/>
      <c r="F41" s="243"/>
      <c r="G41" s="250"/>
      <c r="H41" s="254"/>
      <c r="I41" s="243"/>
      <c r="J41" s="243"/>
    </row>
    <row r="42" spans="1:10" s="238" customFormat="1" ht="15">
      <c r="A42" s="238" t="s">
        <v>117</v>
      </c>
      <c r="B42" s="284" t="s">
        <v>126</v>
      </c>
      <c r="C42" s="290">
        <f>C33/100</f>
        <v>1.2</v>
      </c>
      <c r="D42" s="250"/>
      <c r="E42" s="250"/>
      <c r="F42" s="250"/>
      <c r="G42" s="250"/>
      <c r="H42" s="254"/>
      <c r="I42" s="243"/>
      <c r="J42" s="243"/>
    </row>
    <row r="43" spans="2:10" s="238" customFormat="1" ht="15">
      <c r="B43" s="286" t="s">
        <v>304</v>
      </c>
      <c r="C43" s="291">
        <f>C34/100</f>
        <v>0.15</v>
      </c>
      <c r="D43" s="254"/>
      <c r="E43" s="250"/>
      <c r="F43" s="250"/>
      <c r="G43" s="250"/>
      <c r="H43" s="254"/>
      <c r="I43" s="243"/>
      <c r="J43" s="243"/>
    </row>
    <row r="44" spans="2:10" s="238" customFormat="1" ht="15">
      <c r="B44" s="286" t="s">
        <v>116</v>
      </c>
      <c r="C44" s="292">
        <f>C43^2</f>
        <v>0.0225</v>
      </c>
      <c r="D44" s="254"/>
      <c r="E44" s="250"/>
      <c r="F44" s="250"/>
      <c r="G44" s="250"/>
      <c r="H44" s="254"/>
      <c r="I44" s="243"/>
      <c r="J44" s="243"/>
    </row>
    <row r="45" spans="2:3" s="238" customFormat="1" ht="13.5">
      <c r="B45" s="293"/>
      <c r="C45" s="294"/>
    </row>
    <row r="46" spans="2:10" s="238" customFormat="1" ht="15" thickBot="1">
      <c r="B46" s="295"/>
      <c r="C46" s="296"/>
      <c r="D46" s="250"/>
      <c r="E46" s="250"/>
      <c r="F46" s="250"/>
      <c r="G46" s="243"/>
      <c r="H46" s="243"/>
      <c r="I46" s="243"/>
      <c r="J46" s="243"/>
    </row>
    <row r="47" spans="3:10" s="238" customFormat="1" ht="13.5">
      <c r="C47" s="256"/>
      <c r="D47" s="250"/>
      <c r="E47" s="250"/>
      <c r="F47" s="250"/>
      <c r="G47" s="243"/>
      <c r="H47" s="243"/>
      <c r="I47" s="243"/>
      <c r="J47" s="243"/>
    </row>
    <row r="48" spans="1:10" s="238" customFormat="1" ht="13.5">
      <c r="A48" s="238" t="s">
        <v>33</v>
      </c>
      <c r="C48" s="254"/>
      <c r="D48" s="246"/>
      <c r="E48" s="243"/>
      <c r="F48" s="243"/>
      <c r="G48" s="243"/>
      <c r="H48" s="243"/>
      <c r="I48" s="243"/>
      <c r="J48" s="243"/>
    </row>
    <row r="49" spans="3:10" s="238" customFormat="1" ht="15" thickBot="1">
      <c r="C49" s="255"/>
      <c r="D49" s="246"/>
      <c r="E49" s="243"/>
      <c r="F49" s="243"/>
      <c r="G49" s="243"/>
      <c r="H49" s="243"/>
      <c r="I49" s="243"/>
      <c r="J49" s="243"/>
    </row>
    <row r="50" spans="1:6" ht="30" customHeight="1" thickBot="1">
      <c r="A50" s="251" t="s">
        <v>34</v>
      </c>
      <c r="B50" s="498" t="s">
        <v>363</v>
      </c>
      <c r="C50" s="499"/>
      <c r="D50" s="499"/>
      <c r="E50" s="499"/>
      <c r="F50" s="500"/>
    </row>
    <row r="51" spans="2:6" ht="13.5">
      <c r="B51" s="250"/>
      <c r="C51" s="257"/>
      <c r="D51" s="257"/>
      <c r="E51" s="257"/>
      <c r="F51" s="258"/>
    </row>
    <row r="52" spans="2:9" ht="16.5" thickBot="1">
      <c r="B52" s="259" t="s">
        <v>118</v>
      </c>
      <c r="C52" s="260" t="s">
        <v>119</v>
      </c>
      <c r="D52" s="260" t="s">
        <v>120</v>
      </c>
      <c r="E52" s="260" t="s">
        <v>121</v>
      </c>
      <c r="F52" s="260" t="s">
        <v>122</v>
      </c>
      <c r="G52" s="260" t="s">
        <v>298</v>
      </c>
      <c r="H52" s="260" t="s">
        <v>299</v>
      </c>
      <c r="I52" s="261" t="s">
        <v>219</v>
      </c>
    </row>
    <row r="53" spans="1:9" ht="15" thickBot="1">
      <c r="A53" s="255" t="s">
        <v>300</v>
      </c>
      <c r="B53" s="233" t="s">
        <v>224</v>
      </c>
      <c r="C53" s="262">
        <v>99</v>
      </c>
      <c r="D53" s="262">
        <v>122</v>
      </c>
      <c r="E53" s="263">
        <f>(C53-$C$33)/$C$34</f>
        <v>-1.4</v>
      </c>
      <c r="F53" s="263">
        <f>(D53-$C$33)/$C$34</f>
        <v>0.13333333333333333</v>
      </c>
      <c r="G53" s="263">
        <f>NORMSDIST(E53)</f>
        <v>0.08075665923377118</v>
      </c>
      <c r="H53" s="263">
        <f>NORMSDIST(F53)</f>
        <v>0.553035116623614</v>
      </c>
      <c r="I53" s="270">
        <f>H53-G53</f>
        <v>0.47227845738984287</v>
      </c>
    </row>
    <row r="54" spans="1:9" ht="15" thickBot="1">
      <c r="A54" s="249" t="s">
        <v>36</v>
      </c>
      <c r="B54" s="233" t="s">
        <v>225</v>
      </c>
      <c r="C54" s="262">
        <v>99</v>
      </c>
      <c r="D54" s="262">
        <v>122</v>
      </c>
      <c r="E54" s="263">
        <f>(C54-$C$33)/$C$34</f>
        <v>-1.4</v>
      </c>
      <c r="F54" s="263">
        <f>(D54-$C$33)/$C$34</f>
        <v>0.13333333333333333</v>
      </c>
      <c r="G54" s="263">
        <f>NORMSDIST(E54)</f>
        <v>0.08075665923377118</v>
      </c>
      <c r="H54" s="263">
        <f>NORMSDIST(F54)</f>
        <v>0.553035116623614</v>
      </c>
      <c r="I54" s="270">
        <f>H54-G54</f>
        <v>0.47227845738984287</v>
      </c>
    </row>
    <row r="55" spans="1:9" ht="15" thickBot="1">
      <c r="A55" s="249" t="s">
        <v>220</v>
      </c>
      <c r="B55" s="233" t="s">
        <v>226</v>
      </c>
      <c r="C55" s="262">
        <v>115</v>
      </c>
      <c r="D55" s="262" t="s">
        <v>221</v>
      </c>
      <c r="E55" s="263">
        <f>(C55-$C$33)/$C$34</f>
        <v>-0.3333333333333333</v>
      </c>
      <c r="F55" s="263" t="s">
        <v>221</v>
      </c>
      <c r="G55" s="263">
        <f>NORMSDIST(E55)</f>
        <v>0.36944134018176367</v>
      </c>
      <c r="H55" s="263">
        <v>1</v>
      </c>
      <c r="I55" s="270">
        <f>H55-G55</f>
        <v>0.6305586598182363</v>
      </c>
    </row>
    <row r="56" spans="1:9" ht="15" thickBot="1">
      <c r="A56" s="249" t="s">
        <v>222</v>
      </c>
      <c r="B56" s="238"/>
      <c r="C56" s="262">
        <v>104</v>
      </c>
      <c r="D56" s="271">
        <f>C33+C34*F56</f>
        <v>112.43703296017144</v>
      </c>
      <c r="E56" s="263">
        <f>(C56-$C$33)/$C$34</f>
        <v>-1.0666666666666667</v>
      </c>
      <c r="F56" s="263">
        <f>NORMSINV(H56)</f>
        <v>-0.5041978026552376</v>
      </c>
      <c r="G56" s="263">
        <f>NORMSDIST(E56)</f>
        <v>0.14306119219550906</v>
      </c>
      <c r="H56" s="263">
        <f>G56+I56</f>
        <v>0.3070611921955091</v>
      </c>
      <c r="I56" s="263">
        <v>0.164</v>
      </c>
    </row>
    <row r="57" spans="2:9" ht="15" thickBot="1">
      <c r="B57" s="238"/>
      <c r="C57" s="262"/>
      <c r="D57" s="262"/>
      <c r="E57" s="263"/>
      <c r="F57" s="263"/>
      <c r="G57" s="263"/>
      <c r="H57" s="263"/>
      <c r="I57" s="263"/>
    </row>
    <row r="58" spans="1:9" ht="15" thickBot="1">
      <c r="A58" s="249" t="s">
        <v>301</v>
      </c>
      <c r="B58" s="273" t="s">
        <v>302</v>
      </c>
      <c r="C58" s="274"/>
      <c r="D58" s="274"/>
      <c r="E58" s="275"/>
      <c r="F58" s="263"/>
      <c r="G58" s="263"/>
      <c r="H58" s="263"/>
      <c r="I58" s="263"/>
    </row>
    <row r="59" spans="2:9" ht="13.5">
      <c r="B59" s="238"/>
      <c r="C59" s="262"/>
      <c r="D59" s="262"/>
      <c r="E59" s="263"/>
      <c r="F59" s="263"/>
      <c r="G59" s="263"/>
      <c r="H59" s="263"/>
      <c r="I59" s="263"/>
    </row>
    <row r="60" spans="2:9" ht="13.5">
      <c r="B60" s="238"/>
      <c r="C60" s="262"/>
      <c r="D60" s="262"/>
      <c r="E60" s="263"/>
      <c r="F60" s="263"/>
      <c r="G60" s="263"/>
      <c r="H60" s="263"/>
      <c r="I60" s="263"/>
    </row>
    <row r="61" spans="1:9" ht="13.5">
      <c r="A61" s="234" t="s">
        <v>168</v>
      </c>
      <c r="B61" s="255" t="s">
        <v>57</v>
      </c>
      <c r="C61" s="262">
        <v>460</v>
      </c>
      <c r="D61" s="262"/>
      <c r="E61" s="263"/>
      <c r="F61" s="263"/>
      <c r="G61" s="263"/>
      <c r="H61" s="263"/>
      <c r="I61" s="263"/>
    </row>
    <row r="62" spans="2:9" ht="13.5">
      <c r="B62" s="255" t="s">
        <v>134</v>
      </c>
      <c r="C62" s="298">
        <v>0.7</v>
      </c>
      <c r="D62" s="262"/>
      <c r="E62" s="263"/>
      <c r="F62" s="263"/>
      <c r="G62" s="263"/>
      <c r="H62" s="263"/>
      <c r="I62" s="263"/>
    </row>
    <row r="63" spans="2:9" ht="15">
      <c r="B63" s="253" t="s">
        <v>126</v>
      </c>
      <c r="C63" s="299">
        <f>C61*C62</f>
        <v>322</v>
      </c>
      <c r="D63" s="262"/>
      <c r="E63" s="263"/>
      <c r="F63" s="263"/>
      <c r="G63" s="263"/>
      <c r="H63" s="263"/>
      <c r="I63" s="263"/>
    </row>
    <row r="64" spans="2:9" ht="15">
      <c r="B64" s="253" t="s">
        <v>116</v>
      </c>
      <c r="C64" s="297">
        <f>C61*C62*(1-C62)</f>
        <v>96.60000000000001</v>
      </c>
      <c r="D64" s="262"/>
      <c r="E64" s="263"/>
      <c r="F64" s="263"/>
      <c r="G64" s="263"/>
      <c r="H64" s="263"/>
      <c r="I64" s="263"/>
    </row>
    <row r="65" spans="2:9" ht="15">
      <c r="B65" s="253" t="s">
        <v>304</v>
      </c>
      <c r="C65" s="300">
        <f>SQRT(C64)</f>
        <v>9.828529900244492</v>
      </c>
      <c r="D65" s="262"/>
      <c r="E65" s="263"/>
      <c r="F65" s="263"/>
      <c r="G65" s="263"/>
      <c r="H65" s="263"/>
      <c r="I65" s="263"/>
    </row>
    <row r="66" spans="2:9" ht="13.5">
      <c r="B66" s="255"/>
      <c r="C66" s="262"/>
      <c r="D66" s="262"/>
      <c r="E66" s="263"/>
      <c r="F66" s="263"/>
      <c r="G66" s="263"/>
      <c r="H66" s="263"/>
      <c r="I66" s="263"/>
    </row>
    <row r="67" spans="2:9" ht="16.5" thickBot="1">
      <c r="B67" s="264"/>
      <c r="C67" s="260" t="s">
        <v>135</v>
      </c>
      <c r="D67" s="260" t="s">
        <v>136</v>
      </c>
      <c r="E67" s="260" t="s">
        <v>121</v>
      </c>
      <c r="F67" s="260" t="s">
        <v>122</v>
      </c>
      <c r="G67" s="260" t="s">
        <v>298</v>
      </c>
      <c r="H67" s="260" t="s">
        <v>299</v>
      </c>
      <c r="I67" s="261" t="s">
        <v>219</v>
      </c>
    </row>
    <row r="68" spans="1:9" ht="15" thickBot="1">
      <c r="A68" s="249" t="s">
        <v>31</v>
      </c>
      <c r="B68" s="233" t="s">
        <v>227</v>
      </c>
      <c r="C68" s="262">
        <v>320</v>
      </c>
      <c r="D68" s="262">
        <v>329</v>
      </c>
      <c r="E68" s="263">
        <f>(C68-0.5-$C$63)/$C$65</f>
        <v>-0.25436153986139987</v>
      </c>
      <c r="F68" s="263">
        <f>(D68+0.5-$C$63)/$C$65</f>
        <v>0.7630846195841997</v>
      </c>
      <c r="G68" s="263">
        <f>NORMSDIST(E68)</f>
        <v>0.3996081303708815</v>
      </c>
      <c r="H68" s="263">
        <f>NORMSDIST(F68)</f>
        <v>0.7772935340038725</v>
      </c>
      <c r="I68" s="271">
        <f>H68-G68</f>
        <v>0.37768540363299097</v>
      </c>
    </row>
    <row r="69" spans="1:9" ht="15" thickBot="1">
      <c r="A69" s="233" t="s">
        <v>192</v>
      </c>
      <c r="B69" s="233" t="s">
        <v>223</v>
      </c>
      <c r="C69" s="262">
        <v>323</v>
      </c>
      <c r="D69" s="262">
        <v>323</v>
      </c>
      <c r="E69" s="263">
        <f>(C69-0.5-$C$63)/$C$65</f>
        <v>0.05087230797227998</v>
      </c>
      <c r="F69" s="263">
        <f>(D69+0.5-$C$63)/$C$65</f>
        <v>0.15261692391683992</v>
      </c>
      <c r="G69" s="263">
        <f>NORMSDIST(E69)</f>
        <v>0.5202863640175666</v>
      </c>
      <c r="H69" s="263">
        <f>NORMSDIST(F69)</f>
        <v>0.5606498110013894</v>
      </c>
      <c r="I69" s="271">
        <f>H69-G69</f>
        <v>0.04036344698382288</v>
      </c>
    </row>
    <row r="70" spans="2:9" ht="13.5">
      <c r="B70" s="255"/>
      <c r="C70" s="262"/>
      <c r="D70" s="262"/>
      <c r="E70" s="263"/>
      <c r="F70" s="263"/>
      <c r="G70" s="263"/>
      <c r="H70" s="263"/>
      <c r="I70" s="263"/>
    </row>
    <row r="71" spans="1:9" ht="13.5">
      <c r="A71" s="265"/>
      <c r="B71" s="255"/>
      <c r="C71" s="262"/>
      <c r="D71" s="262"/>
      <c r="E71" s="263"/>
      <c r="F71" s="263"/>
      <c r="G71" s="263"/>
      <c r="H71" s="263"/>
      <c r="I71" s="263"/>
    </row>
    <row r="72" spans="3:9" ht="13.5">
      <c r="C72" s="262"/>
      <c r="D72" s="262"/>
      <c r="E72" s="262"/>
      <c r="F72" s="262"/>
      <c r="G72" s="262"/>
      <c r="H72" s="262"/>
      <c r="I72" s="262"/>
    </row>
    <row r="73" spans="2:9" ht="13.5">
      <c r="B73" s="266"/>
      <c r="C73" s="262"/>
      <c r="D73" s="262"/>
      <c r="E73" s="262"/>
      <c r="F73" s="262"/>
      <c r="G73" s="262"/>
      <c r="H73" s="262"/>
      <c r="I73" s="262"/>
    </row>
    <row r="74" spans="2:9" ht="13.5">
      <c r="B74" s="238"/>
      <c r="C74" s="262"/>
      <c r="D74" s="262"/>
      <c r="E74" s="262"/>
      <c r="F74" s="262"/>
      <c r="G74" s="262"/>
      <c r="H74" s="262"/>
      <c r="I74" s="262"/>
    </row>
    <row r="75" spans="2:9" ht="13.5">
      <c r="B75" s="238"/>
      <c r="C75" s="262"/>
      <c r="D75" s="262"/>
      <c r="E75" s="262"/>
      <c r="F75" s="262"/>
      <c r="G75" s="262"/>
      <c r="H75" s="262"/>
      <c r="I75" s="262"/>
    </row>
    <row r="76" spans="2:9" ht="13.5">
      <c r="B76" s="238"/>
      <c r="C76" s="262"/>
      <c r="D76" s="262"/>
      <c r="E76" s="262"/>
      <c r="F76" s="262"/>
      <c r="G76" s="262"/>
      <c r="H76" s="262"/>
      <c r="I76" s="262"/>
    </row>
    <row r="77" spans="2:9" ht="13.5">
      <c r="B77" s="238"/>
      <c r="C77" s="250"/>
      <c r="E77" s="238"/>
      <c r="I77" s="250"/>
    </row>
    <row r="78" spans="2:9" ht="13.5">
      <c r="B78" s="238"/>
      <c r="C78" s="250"/>
      <c r="E78" s="242"/>
      <c r="I78" s="250"/>
    </row>
    <row r="79" spans="2:9" ht="13.5">
      <c r="B79" s="238"/>
      <c r="C79" s="250"/>
      <c r="E79" s="242"/>
      <c r="I79" s="250"/>
    </row>
    <row r="80" spans="2:9" ht="13.5">
      <c r="B80" s="238"/>
      <c r="C80" s="250"/>
      <c r="E80" s="242"/>
      <c r="I80" s="250"/>
    </row>
    <row r="81" spans="2:9" ht="13.5">
      <c r="B81" s="266"/>
      <c r="C81" s="250"/>
      <c r="D81" s="242"/>
      <c r="E81" s="242"/>
      <c r="I81" s="250"/>
    </row>
    <row r="82" spans="1:9" ht="13.5">
      <c r="A82" s="265"/>
      <c r="B82" s="243"/>
      <c r="C82" s="243"/>
      <c r="D82" s="242"/>
      <c r="E82" s="242"/>
      <c r="I82" s="250"/>
    </row>
    <row r="83" spans="2:9" ht="13.5">
      <c r="B83" s="255"/>
      <c r="C83" s="246"/>
      <c r="D83" s="242"/>
      <c r="E83" s="242"/>
      <c r="I83" s="250"/>
    </row>
    <row r="84" spans="2:9" ht="13.5">
      <c r="B84" s="255"/>
      <c r="C84" s="243"/>
      <c r="D84" s="242"/>
      <c r="E84" s="242"/>
      <c r="I84" s="250"/>
    </row>
    <row r="85" spans="2:9" ht="13.5">
      <c r="B85" s="243"/>
      <c r="C85" s="243"/>
      <c r="D85" s="242"/>
      <c r="E85" s="242"/>
      <c r="I85" s="250"/>
    </row>
    <row r="86" spans="1:9" ht="13.5">
      <c r="A86" s="265"/>
      <c r="E86" s="242"/>
      <c r="I86" s="250"/>
    </row>
    <row r="87" spans="2:9" ht="13.5">
      <c r="B87" s="243"/>
      <c r="D87" s="238"/>
      <c r="E87" s="256"/>
      <c r="I87" s="250"/>
    </row>
    <row r="88" spans="2:9" ht="13.5">
      <c r="B88" s="250"/>
      <c r="D88" s="238"/>
      <c r="E88" s="256"/>
      <c r="I88" s="250"/>
    </row>
    <row r="89" spans="2:9" ht="13.5">
      <c r="B89" s="250"/>
      <c r="C89" s="243"/>
      <c r="D89" s="249"/>
      <c r="E89" s="256"/>
      <c r="I89" s="250"/>
    </row>
    <row r="90" spans="2:9" ht="13.5">
      <c r="B90" s="250"/>
      <c r="C90" s="243"/>
      <c r="D90" s="242"/>
      <c r="E90" s="242"/>
      <c r="I90" s="250"/>
    </row>
    <row r="91" spans="2:9" ht="13.5">
      <c r="B91" s="254"/>
      <c r="C91" s="243"/>
      <c r="D91" s="249"/>
      <c r="E91" s="256"/>
      <c r="I91" s="250"/>
    </row>
    <row r="92" spans="2:9" ht="13.5">
      <c r="B92" s="250"/>
      <c r="C92" s="243"/>
      <c r="D92" s="249"/>
      <c r="E92" s="267"/>
      <c r="I92" s="250"/>
    </row>
    <row r="93" spans="4:9" ht="13.5">
      <c r="D93" s="238"/>
      <c r="E93" s="256"/>
      <c r="I93" s="250"/>
    </row>
    <row r="94" spans="3:9" ht="13.5">
      <c r="C94" s="246"/>
      <c r="D94" s="238"/>
      <c r="E94" s="254"/>
      <c r="I94" s="250"/>
    </row>
    <row r="95" spans="3:9" ht="13.5">
      <c r="C95" s="246"/>
      <c r="D95" s="238"/>
      <c r="E95" s="254"/>
      <c r="I95" s="250"/>
    </row>
    <row r="96" spans="3:9" ht="13.5">
      <c r="C96" s="246"/>
      <c r="I96" s="250"/>
    </row>
    <row r="97" ht="13.5">
      <c r="C97" s="268"/>
    </row>
    <row r="98" spans="1:3" ht="13.5">
      <c r="A98" s="265"/>
      <c r="C98" s="254"/>
    </row>
    <row r="99" ht="13.5">
      <c r="C99" s="254"/>
    </row>
    <row r="100" ht="13.5">
      <c r="C100" s="256"/>
    </row>
    <row r="101" ht="13.5">
      <c r="C101" s="256"/>
    </row>
    <row r="102" ht="13.5">
      <c r="C102" s="256"/>
    </row>
    <row r="103" spans="3:4" ht="13.5">
      <c r="C103" s="254"/>
      <c r="D103" s="235"/>
    </row>
    <row r="105" ht="13.5">
      <c r="C105" s="256"/>
    </row>
    <row r="106" ht="13.5">
      <c r="C106" s="254"/>
    </row>
    <row r="107" spans="2:3" ht="13.5">
      <c r="B107" s="269"/>
      <c r="C107" s="254"/>
    </row>
    <row r="109" ht="13.5">
      <c r="C109" s="254"/>
    </row>
    <row r="110" ht="13.5">
      <c r="C110" s="254"/>
    </row>
    <row r="111" ht="13.5">
      <c r="C111" s="256"/>
    </row>
    <row r="113" spans="2:3" ht="13.5">
      <c r="B113" s="255"/>
      <c r="C113" s="254"/>
    </row>
    <row r="114" spans="2:3" ht="13.5">
      <c r="B114" s="255"/>
      <c r="C114" s="254"/>
    </row>
    <row r="115" spans="2:3" ht="13.5">
      <c r="B115" s="255"/>
      <c r="C115" s="254"/>
    </row>
    <row r="117" ht="13.5">
      <c r="C117" s="254"/>
    </row>
    <row r="118" ht="13.5">
      <c r="C118" s="254"/>
    </row>
    <row r="119" ht="13.5">
      <c r="C119" s="256"/>
    </row>
    <row r="121" spans="2:3" ht="13.5">
      <c r="B121" s="255"/>
      <c r="C121" s="254"/>
    </row>
    <row r="122" spans="2:3" ht="13.5">
      <c r="B122" s="255"/>
      <c r="C122" s="254"/>
    </row>
    <row r="123" spans="2:3" ht="13.5">
      <c r="B123" s="255"/>
      <c r="C123" s="254"/>
    </row>
  </sheetData>
  <mergeCells count="9">
    <mergeCell ref="B2:F2"/>
    <mergeCell ref="F21:G21"/>
    <mergeCell ref="F20:G20"/>
    <mergeCell ref="B29:E29"/>
    <mergeCell ref="B28:E28"/>
    <mergeCell ref="B50:F50"/>
    <mergeCell ref="B4:F4"/>
    <mergeCell ref="F5:G5"/>
    <mergeCell ref="F22:G22"/>
  </mergeCells>
  <printOptions/>
  <pageMargins left="0.75" right="0.75" top="1" bottom="1" header="0.5" footer="0.5"/>
  <pageSetup orientation="portrait"/>
  <legacyDrawing r:id="rId3"/>
  <oleObjects>
    <oleObject progId="Equation.3" shapeId="19825764" r:id="rId1"/>
    <oleObject progId="Equation.3" shapeId="1983661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9"/>
  <sheetViews>
    <sheetView zoomScale="125" zoomScaleNormal="125" workbookViewId="0" topLeftCell="A1">
      <selection activeCell="F112" sqref="F112"/>
    </sheetView>
  </sheetViews>
  <sheetFormatPr defaultColWidth="11.00390625" defaultRowHeight="12.75"/>
  <cols>
    <col min="1" max="1" width="4.25390625" style="249" customWidth="1"/>
    <col min="2" max="2" width="20.125" style="305" customWidth="1"/>
    <col min="3" max="3" width="7.875" style="306" customWidth="1"/>
    <col min="4" max="10" width="11.00390625" style="306" customWidth="1"/>
    <col min="11" max="16384" width="10.75390625" style="306" customWidth="1"/>
  </cols>
  <sheetData>
    <row r="1" spans="1:6" s="308" customFormat="1" ht="13.5">
      <c r="A1" s="334" t="s">
        <v>303</v>
      </c>
      <c r="B1" s="237" t="s">
        <v>276</v>
      </c>
      <c r="C1" s="326">
        <v>902</v>
      </c>
      <c r="D1" s="362"/>
      <c r="E1" s="307"/>
      <c r="F1" s="307"/>
    </row>
    <row r="2" spans="1:10" s="308" customFormat="1" ht="13.5">
      <c r="A2" s="237"/>
      <c r="B2" s="237" t="s">
        <v>279</v>
      </c>
      <c r="C2" s="327">
        <v>22</v>
      </c>
      <c r="D2" s="307"/>
      <c r="E2" s="307"/>
      <c r="F2" s="307"/>
      <c r="G2" s="347"/>
      <c r="H2" s="347"/>
      <c r="I2" s="347"/>
      <c r="J2" s="347"/>
    </row>
    <row r="3" spans="1:10" s="308" customFormat="1" ht="13.5">
      <c r="A3" s="237"/>
      <c r="B3" s="237" t="s">
        <v>82</v>
      </c>
      <c r="C3" s="328">
        <v>17</v>
      </c>
      <c r="D3" s="312"/>
      <c r="E3" s="312"/>
      <c r="F3" s="312"/>
      <c r="G3" s="347"/>
      <c r="H3" s="347"/>
      <c r="I3" s="347"/>
      <c r="J3" s="347"/>
    </row>
    <row r="4" spans="1:10" s="308" customFormat="1" ht="13.5">
      <c r="A4" s="237"/>
      <c r="B4" s="237" t="s">
        <v>83</v>
      </c>
      <c r="C4" s="328">
        <v>-13</v>
      </c>
      <c r="D4" s="312"/>
      <c r="E4" s="312"/>
      <c r="F4" s="312"/>
      <c r="G4" s="347"/>
      <c r="H4" s="347"/>
      <c r="I4" s="347"/>
      <c r="J4" s="347"/>
    </row>
    <row r="5" spans="1:10" s="308" customFormat="1" ht="15" thickBot="1">
      <c r="A5" s="238"/>
      <c r="B5" s="238"/>
      <c r="C5" s="305"/>
      <c r="D5" s="347"/>
      <c r="E5" s="347"/>
      <c r="F5" s="305"/>
      <c r="G5" s="306"/>
      <c r="H5" s="347"/>
      <c r="I5" s="347"/>
      <c r="J5" s="347"/>
    </row>
    <row r="6" spans="1:10" s="308" customFormat="1" ht="15.75">
      <c r="A6" s="238" t="s">
        <v>31</v>
      </c>
      <c r="B6" s="363" t="s">
        <v>286</v>
      </c>
      <c r="C6" s="364">
        <f>C1</f>
        <v>902</v>
      </c>
      <c r="D6" s="347"/>
      <c r="E6" s="347"/>
      <c r="F6" s="305"/>
      <c r="G6" s="306"/>
      <c r="H6" s="347"/>
      <c r="I6" s="347"/>
      <c r="J6" s="347"/>
    </row>
    <row r="7" spans="1:10" s="308" customFormat="1" ht="16.5" thickBot="1">
      <c r="A7" s="238"/>
      <c r="B7" s="295" t="s">
        <v>287</v>
      </c>
      <c r="C7" s="289">
        <f>C6+C4</f>
        <v>889</v>
      </c>
      <c r="D7" s="347"/>
      <c r="E7" s="347"/>
      <c r="F7" s="347"/>
      <c r="G7" s="347"/>
      <c r="H7" s="347"/>
      <c r="I7" s="347"/>
      <c r="J7" s="347"/>
    </row>
    <row r="8" spans="1:10" s="308" customFormat="1" ht="15" thickBot="1">
      <c r="A8" s="244"/>
      <c r="B8" s="347"/>
      <c r="C8" s="310"/>
      <c r="D8" s="305"/>
      <c r="E8" s="305"/>
      <c r="F8" s="305"/>
      <c r="G8" s="305"/>
      <c r="H8" s="305"/>
      <c r="I8" s="305"/>
      <c r="J8" s="305"/>
    </row>
    <row r="9" spans="1:10" s="308" customFormat="1" ht="15" thickBot="1">
      <c r="A9" s="238" t="s">
        <v>32</v>
      </c>
      <c r="B9" s="365" t="s">
        <v>199</v>
      </c>
      <c r="C9" s="305"/>
      <c r="D9" s="305"/>
      <c r="E9" s="305"/>
      <c r="F9" s="305"/>
      <c r="G9" s="305"/>
      <c r="H9" s="305"/>
      <c r="I9" s="305"/>
      <c r="J9" s="305"/>
    </row>
    <row r="10" spans="1:10" s="308" customFormat="1" ht="13.5">
      <c r="A10" s="238"/>
      <c r="B10" s="305"/>
      <c r="C10" s="347"/>
      <c r="D10" s="305"/>
      <c r="E10" s="305"/>
      <c r="F10" s="305"/>
      <c r="G10" s="305"/>
      <c r="H10" s="305"/>
      <c r="I10" s="305"/>
      <c r="J10" s="305"/>
    </row>
    <row r="11" spans="1:10" s="308" customFormat="1" ht="15">
      <c r="A11" s="238" t="s">
        <v>33</v>
      </c>
      <c r="B11" s="253" t="s">
        <v>294</v>
      </c>
      <c r="C11" s="325">
        <v>0.13</v>
      </c>
      <c r="D11" s="305"/>
      <c r="E11" s="305"/>
      <c r="F11" s="305"/>
      <c r="G11" s="305"/>
      <c r="H11" s="305"/>
      <c r="I11" s="305"/>
      <c r="J11" s="305"/>
    </row>
    <row r="12" spans="1:10" s="308" customFormat="1" ht="13.5">
      <c r="A12" s="238"/>
      <c r="B12" s="308" t="s">
        <v>84</v>
      </c>
      <c r="C12" s="320"/>
      <c r="D12" s="311"/>
      <c r="E12" s="311"/>
      <c r="F12" s="305"/>
      <c r="G12" s="305"/>
      <c r="H12" s="305"/>
      <c r="I12" s="305"/>
      <c r="J12" s="305"/>
    </row>
    <row r="13" spans="1:10" s="308" customFormat="1" ht="13.5">
      <c r="A13" s="244"/>
      <c r="B13" s="238" t="s">
        <v>276</v>
      </c>
      <c r="C13" s="246">
        <f>C1</f>
        <v>902</v>
      </c>
      <c r="D13" s="311"/>
      <c r="E13" s="311"/>
      <c r="F13" s="305"/>
      <c r="G13" s="305"/>
      <c r="H13" s="305"/>
      <c r="I13" s="305"/>
      <c r="J13" s="305"/>
    </row>
    <row r="14" spans="1:10" s="308" customFormat="1" ht="15.75">
      <c r="A14" s="238"/>
      <c r="B14" s="238" t="s">
        <v>285</v>
      </c>
      <c r="C14" s="329">
        <f>C2/SQRT(C3)</f>
        <v>5.335783750799325</v>
      </c>
      <c r="D14" s="311"/>
      <c r="E14" s="311"/>
      <c r="F14" s="305"/>
      <c r="G14" s="305"/>
      <c r="H14" s="305"/>
      <c r="I14" s="305"/>
      <c r="J14" s="305"/>
    </row>
    <row r="15" spans="1:10" s="308" customFormat="1" ht="15" thickBot="1">
      <c r="A15" s="238"/>
      <c r="B15" s="238" t="s">
        <v>85</v>
      </c>
      <c r="C15" s="330">
        <f>NORMSINV(1-C11)</f>
        <v>1.126391129038801</v>
      </c>
      <c r="D15" s="311"/>
      <c r="E15" s="311"/>
      <c r="F15" s="305"/>
      <c r="G15" s="305"/>
      <c r="H15" s="305"/>
      <c r="I15" s="305"/>
      <c r="J15" s="305"/>
    </row>
    <row r="16" spans="1:10" s="308" customFormat="1" ht="15" thickBot="1">
      <c r="A16" s="238"/>
      <c r="B16" s="366" t="s">
        <v>86</v>
      </c>
      <c r="C16" s="367">
        <f>C13-C14*C15</f>
        <v>895.9898205166303</v>
      </c>
      <c r="D16" s="311"/>
      <c r="E16" s="311"/>
      <c r="F16" s="347"/>
      <c r="G16" s="347"/>
      <c r="H16" s="347"/>
      <c r="I16" s="347"/>
      <c r="J16" s="347"/>
    </row>
    <row r="17" spans="1:5" s="308" customFormat="1" ht="15" thickBot="1">
      <c r="A17" s="238"/>
      <c r="B17" s="347"/>
      <c r="C17" s="246"/>
      <c r="E17" s="311"/>
    </row>
    <row r="18" spans="1:11" s="308" customFormat="1" ht="13.5">
      <c r="A18" s="238"/>
      <c r="B18" s="368" t="s">
        <v>87</v>
      </c>
      <c r="C18" s="277"/>
      <c r="D18" s="369"/>
      <c r="E18" s="370"/>
      <c r="F18" s="347"/>
      <c r="G18" s="347"/>
      <c r="H18" s="347"/>
      <c r="I18" s="347"/>
      <c r="J18" s="347"/>
      <c r="K18" s="347"/>
    </row>
    <row r="19" spans="1:11" s="308" customFormat="1" ht="13.5">
      <c r="A19" s="238"/>
      <c r="B19" s="293" t="s">
        <v>88</v>
      </c>
      <c r="C19" s="353">
        <f>C16</f>
        <v>895.9898205166303</v>
      </c>
      <c r="D19" s="311" t="s">
        <v>89</v>
      </c>
      <c r="E19" s="371"/>
      <c r="F19" s="347"/>
      <c r="G19" s="347"/>
      <c r="H19" s="347"/>
      <c r="I19" s="347"/>
      <c r="J19" s="347"/>
      <c r="K19" s="347"/>
    </row>
    <row r="20" spans="1:11" s="308" customFormat="1" ht="15" thickBot="1">
      <c r="A20" s="238"/>
      <c r="B20" s="280" t="s">
        <v>79</v>
      </c>
      <c r="C20" s="281">
        <f>C16</f>
        <v>895.9898205166303</v>
      </c>
      <c r="D20" s="372" t="s">
        <v>90</v>
      </c>
      <c r="E20" s="373"/>
      <c r="F20" s="305"/>
      <c r="G20" s="306"/>
      <c r="H20" s="347"/>
      <c r="I20" s="347"/>
      <c r="J20" s="347"/>
      <c r="K20" s="347"/>
    </row>
    <row r="21" spans="1:11" s="308" customFormat="1" ht="13.5">
      <c r="A21" s="238"/>
      <c r="B21" s="309"/>
      <c r="C21" s="246"/>
      <c r="D21" s="311"/>
      <c r="E21" s="311"/>
      <c r="F21" s="305"/>
      <c r="G21" s="306"/>
      <c r="H21" s="347"/>
      <c r="I21" s="347"/>
      <c r="J21" s="347"/>
      <c r="K21" s="347"/>
    </row>
    <row r="22" spans="1:11" s="308" customFormat="1" ht="13.5">
      <c r="A22" s="238" t="s">
        <v>34</v>
      </c>
      <c r="B22" s="308" t="s">
        <v>80</v>
      </c>
      <c r="C22" s="246"/>
      <c r="D22" s="311"/>
      <c r="E22" s="311"/>
      <c r="F22" s="305"/>
      <c r="G22" s="306"/>
      <c r="H22" s="347"/>
      <c r="I22" s="347"/>
      <c r="J22" s="347"/>
      <c r="K22" s="347"/>
    </row>
    <row r="23" spans="1:11" s="308" customFormat="1" ht="13.5">
      <c r="A23" s="238"/>
      <c r="B23" s="238" t="s">
        <v>289</v>
      </c>
      <c r="C23" s="246" t="s">
        <v>91</v>
      </c>
      <c r="D23" s="347"/>
      <c r="E23" s="347"/>
      <c r="F23" s="347"/>
      <c r="G23" s="347"/>
      <c r="H23" s="347"/>
      <c r="I23" s="347"/>
      <c r="J23" s="347"/>
      <c r="K23" s="347"/>
    </row>
    <row r="24" spans="1:11" s="308" customFormat="1" ht="13.5">
      <c r="A24" s="238"/>
      <c r="B24" s="238" t="s">
        <v>92</v>
      </c>
      <c r="C24" s="331">
        <f>(C16-C7)/C14</f>
        <v>1.309989467917095</v>
      </c>
      <c r="D24" s="347"/>
      <c r="E24" s="347"/>
      <c r="F24" s="347"/>
      <c r="G24" s="347"/>
      <c r="H24" s="347"/>
      <c r="I24" s="347"/>
      <c r="J24" s="305"/>
      <c r="K24" s="347"/>
    </row>
    <row r="25" spans="1:11" s="308" customFormat="1" ht="13.5">
      <c r="A25" s="238"/>
      <c r="B25" s="238" t="s">
        <v>290</v>
      </c>
      <c r="C25" s="338">
        <v>0</v>
      </c>
      <c r="D25" s="347"/>
      <c r="E25" s="347"/>
      <c r="F25" s="347"/>
      <c r="G25" s="347"/>
      <c r="H25" s="347"/>
      <c r="I25" s="347"/>
      <c r="J25" s="305"/>
      <c r="K25" s="347"/>
    </row>
    <row r="26" spans="2:3" ht="15" thickBot="1">
      <c r="B26" s="255" t="s">
        <v>71</v>
      </c>
      <c r="C26" s="254">
        <f>NORMSDIST(C24)</f>
        <v>0.9049003007247627</v>
      </c>
    </row>
    <row r="27" spans="1:11" s="308" customFormat="1" ht="15" thickBot="1">
      <c r="A27" s="244"/>
      <c r="B27" s="363" t="s">
        <v>72</v>
      </c>
      <c r="C27" s="380">
        <f>C26-C25</f>
        <v>0.9049003007247627</v>
      </c>
      <c r="D27" s="374" t="s">
        <v>52</v>
      </c>
      <c r="E27" s="375"/>
      <c r="F27" s="375"/>
      <c r="G27" s="374"/>
      <c r="H27" s="376"/>
      <c r="I27" s="347"/>
      <c r="J27" s="305"/>
      <c r="K27" s="305"/>
    </row>
    <row r="28" spans="1:11" s="308" customFormat="1" ht="15" thickBot="1">
      <c r="A28" s="244"/>
      <c r="B28" s="378" t="s">
        <v>291</v>
      </c>
      <c r="C28" s="379">
        <f>1-C27</f>
        <v>0.09509969927523731</v>
      </c>
      <c r="D28" s="320"/>
      <c r="E28" s="347"/>
      <c r="F28" s="347"/>
      <c r="G28" s="320"/>
      <c r="H28" s="320"/>
      <c r="I28" s="347"/>
      <c r="J28" s="320"/>
      <c r="K28" s="320"/>
    </row>
    <row r="29" spans="1:11" s="308" customFormat="1" ht="15" thickBot="1">
      <c r="A29" s="251"/>
      <c r="B29" s="324"/>
      <c r="C29" s="322"/>
      <c r="D29" s="321"/>
      <c r="E29" s="321"/>
      <c r="F29" s="347"/>
      <c r="G29" s="347"/>
      <c r="H29" s="347"/>
      <c r="I29" s="347"/>
      <c r="J29" s="305"/>
      <c r="K29" s="305"/>
    </row>
    <row r="30" spans="1:11" s="308" customFormat="1" ht="13.5">
      <c r="A30" s="251" t="s">
        <v>35</v>
      </c>
      <c r="B30" s="381" t="s">
        <v>81</v>
      </c>
      <c r="C30" s="382">
        <f>C6</f>
        <v>902</v>
      </c>
      <c r="D30" s="383" t="s">
        <v>73</v>
      </c>
      <c r="E30" s="384"/>
      <c r="F30" s="347"/>
      <c r="G30" s="347"/>
      <c r="H30" s="347"/>
      <c r="I30" s="347"/>
      <c r="J30" s="305"/>
      <c r="K30" s="305"/>
    </row>
    <row r="31" spans="1:11" s="308" customFormat="1" ht="15" thickBot="1">
      <c r="A31" s="238"/>
      <c r="B31" s="295" t="s">
        <v>81</v>
      </c>
      <c r="C31" s="281">
        <f>C7</f>
        <v>889</v>
      </c>
      <c r="D31" s="385" t="s">
        <v>74</v>
      </c>
      <c r="E31" s="386"/>
      <c r="F31" s="347"/>
      <c r="G31" s="347"/>
      <c r="H31" s="347"/>
      <c r="I31" s="347"/>
      <c r="J31" s="305"/>
      <c r="K31" s="305"/>
    </row>
    <row r="32" spans="1:11" s="308" customFormat="1" ht="13.5">
      <c r="A32" s="238"/>
      <c r="B32" s="238"/>
      <c r="C32" s="246"/>
      <c r="D32" s="313"/>
      <c r="E32" s="347"/>
      <c r="F32" s="347"/>
      <c r="G32" s="347"/>
      <c r="H32" s="347"/>
      <c r="I32" s="347"/>
      <c r="J32" s="305"/>
      <c r="K32" s="305"/>
    </row>
    <row r="33" spans="1:11" s="308" customFormat="1" ht="13.5">
      <c r="A33" s="238" t="s">
        <v>36</v>
      </c>
      <c r="B33" s="238" t="s">
        <v>81</v>
      </c>
      <c r="C33" s="246">
        <v>890</v>
      </c>
      <c r="D33" s="313"/>
      <c r="J33" s="305"/>
      <c r="K33" s="305"/>
    </row>
    <row r="34" spans="1:11" s="308" customFormat="1" ht="13.5">
      <c r="A34" s="238"/>
      <c r="B34" s="238" t="s">
        <v>75</v>
      </c>
      <c r="C34" s="332">
        <v>0.75</v>
      </c>
      <c r="D34" s="313"/>
      <c r="E34" s="347"/>
      <c r="F34" s="347"/>
      <c r="G34" s="347"/>
      <c r="H34" s="347"/>
      <c r="I34" s="347"/>
      <c r="J34" s="305"/>
      <c r="K34" s="305"/>
    </row>
    <row r="35" spans="1:11" s="308" customFormat="1" ht="15" thickBot="1">
      <c r="A35" s="238"/>
      <c r="B35" s="238" t="s">
        <v>78</v>
      </c>
      <c r="C35" s="333">
        <f>NORMSINV((1-C34)/2)</f>
        <v>-1.1503493803760088</v>
      </c>
      <c r="D35" s="313"/>
      <c r="E35" s="347"/>
      <c r="F35" s="347"/>
      <c r="G35" s="347"/>
      <c r="H35" s="347"/>
      <c r="I35" s="347"/>
      <c r="J35" s="305"/>
      <c r="K35" s="305"/>
    </row>
    <row r="36" spans="1:11" s="308" customFormat="1" ht="13.5">
      <c r="A36" s="238"/>
      <c r="B36" s="363" t="s">
        <v>296</v>
      </c>
      <c r="C36" s="290">
        <f>-C14*C35</f>
        <v>6.138015531552379</v>
      </c>
      <c r="D36" s="313"/>
      <c r="E36" s="347"/>
      <c r="F36" s="347"/>
      <c r="G36" s="347"/>
      <c r="H36" s="347"/>
      <c r="I36" s="347"/>
      <c r="J36" s="305"/>
      <c r="K36" s="305"/>
    </row>
    <row r="37" spans="1:11" s="308" customFormat="1" ht="13.5">
      <c r="A37" s="238"/>
      <c r="B37" s="387" t="s">
        <v>76</v>
      </c>
      <c r="C37" s="291">
        <f>C33+C36</f>
        <v>896.1380155315524</v>
      </c>
      <c r="D37" s="313"/>
      <c r="E37" s="347"/>
      <c r="F37" s="347"/>
      <c r="G37" s="347"/>
      <c r="H37" s="347"/>
      <c r="I37" s="347"/>
      <c r="J37" s="305"/>
      <c r="K37" s="305"/>
    </row>
    <row r="38" spans="1:11" s="308" customFormat="1" ht="15" thickBot="1">
      <c r="A38" s="238"/>
      <c r="B38" s="295" t="s">
        <v>77</v>
      </c>
      <c r="C38" s="377">
        <f>C33-C36</f>
        <v>883.8619844684476</v>
      </c>
      <c r="D38" s="313"/>
      <c r="E38" s="347"/>
      <c r="F38" s="347"/>
      <c r="G38" s="347"/>
      <c r="H38" s="347"/>
      <c r="I38" s="347"/>
      <c r="J38" s="305"/>
      <c r="K38" s="305"/>
    </row>
    <row r="39" spans="1:11" s="308" customFormat="1" ht="13.5">
      <c r="A39" s="238"/>
      <c r="B39" s="347"/>
      <c r="C39" s="347"/>
      <c r="D39" s="313"/>
      <c r="E39" s="347"/>
      <c r="F39" s="347"/>
      <c r="G39" s="347"/>
      <c r="H39" s="347"/>
      <c r="I39" s="347"/>
      <c r="J39" s="347"/>
      <c r="K39" s="347"/>
    </row>
    <row r="40" spans="1:11" s="308" customFormat="1" ht="13.5">
      <c r="A40" s="238"/>
      <c r="B40" s="347"/>
      <c r="C40" s="347"/>
      <c r="D40" s="313"/>
      <c r="E40" s="347"/>
      <c r="F40" s="347"/>
      <c r="G40" s="305"/>
      <c r="H40" s="305"/>
      <c r="I40" s="347"/>
      <c r="J40" s="347"/>
      <c r="K40" s="347"/>
    </row>
    <row r="41" spans="1:11" s="308" customFormat="1" ht="13.5">
      <c r="A41" s="309" t="s">
        <v>200</v>
      </c>
      <c r="B41" s="238" t="s">
        <v>279</v>
      </c>
      <c r="C41" s="339">
        <v>0.85</v>
      </c>
      <c r="D41" s="313"/>
      <c r="E41" s="347"/>
      <c r="F41" s="347"/>
      <c r="G41" s="305"/>
      <c r="H41" s="305"/>
      <c r="I41" s="347"/>
      <c r="J41" s="347"/>
      <c r="K41" s="347"/>
    </row>
    <row r="42" spans="1:11" s="308" customFormat="1" ht="13.5">
      <c r="A42" s="238"/>
      <c r="B42" s="238" t="s">
        <v>297</v>
      </c>
      <c r="C42" s="246">
        <v>150</v>
      </c>
      <c r="D42" s="313"/>
      <c r="E42" s="347"/>
      <c r="F42" s="347"/>
      <c r="G42" s="305"/>
      <c r="H42" s="305"/>
      <c r="I42" s="347"/>
      <c r="J42" s="347"/>
      <c r="K42" s="347"/>
    </row>
    <row r="43" spans="1:11" s="308" customFormat="1" ht="13.5">
      <c r="A43" s="238"/>
      <c r="B43" s="238" t="s">
        <v>201</v>
      </c>
      <c r="C43" s="340">
        <v>2</v>
      </c>
      <c r="D43" s="305"/>
      <c r="E43" s="305"/>
      <c r="F43" s="305"/>
      <c r="G43" s="305"/>
      <c r="H43" s="305"/>
      <c r="I43" s="347"/>
      <c r="J43" s="347"/>
      <c r="K43" s="347"/>
    </row>
    <row r="44" spans="1:11" s="308" customFormat="1" ht="13.5">
      <c r="A44" s="238"/>
      <c r="B44" s="347"/>
      <c r="C44" s="305"/>
      <c r="D44" s="305"/>
      <c r="E44" s="305"/>
      <c r="F44" s="305"/>
      <c r="G44" s="305"/>
      <c r="H44" s="305"/>
      <c r="I44" s="347"/>
      <c r="J44" s="347"/>
      <c r="K44" s="347"/>
    </row>
    <row r="45" spans="1:11" s="308" customFormat="1" ht="13.5">
      <c r="A45" s="238" t="s">
        <v>179</v>
      </c>
      <c r="B45" s="308" t="s">
        <v>288</v>
      </c>
      <c r="C45" s="337">
        <v>0.08</v>
      </c>
      <c r="D45" s="305"/>
      <c r="E45" s="305"/>
      <c r="F45" s="305"/>
      <c r="G45" s="305"/>
      <c r="H45" s="305"/>
      <c r="I45" s="347"/>
      <c r="J45" s="347"/>
      <c r="K45" s="347"/>
    </row>
    <row r="46" spans="1:11" s="308" customFormat="1" ht="13.5">
      <c r="A46" s="238"/>
      <c r="B46" s="308" t="s">
        <v>292</v>
      </c>
      <c r="C46" s="314"/>
      <c r="D46" s="347"/>
      <c r="E46" s="347"/>
      <c r="F46" s="347"/>
      <c r="G46" s="347"/>
      <c r="H46" s="347"/>
      <c r="I46" s="347"/>
      <c r="J46" s="347"/>
      <c r="K46" s="347"/>
    </row>
    <row r="47" spans="1:11" s="308" customFormat="1" ht="13.5">
      <c r="A47" s="238"/>
      <c r="B47" s="308" t="s">
        <v>293</v>
      </c>
      <c r="C47" s="313"/>
      <c r="D47" s="305"/>
      <c r="E47" s="305"/>
      <c r="F47" s="305"/>
      <c r="G47" s="347"/>
      <c r="H47" s="347"/>
      <c r="I47" s="347"/>
      <c r="J47" s="347"/>
      <c r="K47" s="347"/>
    </row>
    <row r="48" spans="1:11" s="308" customFormat="1" ht="13.5">
      <c r="A48" s="238"/>
      <c r="B48" s="347"/>
      <c r="C48" s="313"/>
      <c r="D48" s="305"/>
      <c r="E48" s="305"/>
      <c r="F48" s="305"/>
      <c r="G48" s="347"/>
      <c r="H48" s="347"/>
      <c r="I48" s="347"/>
      <c r="J48" s="347"/>
      <c r="K48" s="347"/>
    </row>
    <row r="49" spans="1:3" s="308" customFormat="1" ht="13.5">
      <c r="A49" s="238"/>
      <c r="B49" s="238" t="s">
        <v>202</v>
      </c>
      <c r="C49" s="313" t="s">
        <v>203</v>
      </c>
    </row>
    <row r="50" spans="1:9" s="308" customFormat="1" ht="13.5">
      <c r="A50" s="238"/>
      <c r="B50" s="347"/>
      <c r="C50" s="305"/>
      <c r="D50" s="347"/>
      <c r="E50" s="347"/>
      <c r="F50" s="347"/>
      <c r="G50" s="347"/>
      <c r="H50" s="347"/>
      <c r="I50" s="347"/>
    </row>
    <row r="51" spans="1:6" ht="13.5">
      <c r="A51" s="251"/>
      <c r="B51" s="308" t="s">
        <v>204</v>
      </c>
      <c r="C51" s="305"/>
      <c r="D51" s="323"/>
      <c r="E51" s="323"/>
      <c r="F51" s="323"/>
    </row>
    <row r="52" spans="2:6" ht="13.5">
      <c r="B52" s="344" t="s">
        <v>277</v>
      </c>
      <c r="C52" s="341">
        <v>0</v>
      </c>
      <c r="D52" s="315"/>
      <c r="E52" s="315"/>
      <c r="F52" s="316"/>
    </row>
    <row r="53" spans="2:9" ht="13.5">
      <c r="B53" s="255" t="s">
        <v>280</v>
      </c>
      <c r="C53" s="342">
        <f>SQRT((C41^2/C42)+(C41^2/C43))</f>
        <v>0.6050344342817743</v>
      </c>
      <c r="D53" s="317"/>
      <c r="E53" s="317"/>
      <c r="F53" s="317"/>
      <c r="G53" s="317"/>
      <c r="H53" s="317"/>
      <c r="I53" s="318"/>
    </row>
    <row r="54" spans="1:9" ht="13.5">
      <c r="A54" s="255"/>
      <c r="B54" s="306"/>
      <c r="C54" s="335"/>
      <c r="D54" s="313"/>
      <c r="E54" s="305"/>
      <c r="F54" s="305"/>
      <c r="G54" s="305"/>
      <c r="H54" s="305"/>
      <c r="I54" s="305"/>
    </row>
    <row r="55" spans="2:9" ht="13.5">
      <c r="B55" s="255" t="s">
        <v>206</v>
      </c>
      <c r="C55" s="343">
        <f>NORMSINV(1-(C45/2))</f>
        <v>1.75068607125217</v>
      </c>
      <c r="D55" s="313"/>
      <c r="E55" s="305"/>
      <c r="F55" s="305"/>
      <c r="G55" s="305"/>
      <c r="H55" s="305"/>
      <c r="I55" s="305"/>
    </row>
    <row r="56" spans="2:9" ht="15" thickBot="1">
      <c r="B56" s="306"/>
      <c r="C56" s="335"/>
      <c r="D56" s="313"/>
      <c r="E56" s="305"/>
      <c r="F56" s="305"/>
      <c r="G56" s="305"/>
      <c r="H56" s="305"/>
      <c r="I56" s="305"/>
    </row>
    <row r="57" spans="2:9" ht="13.5">
      <c r="B57" s="388" t="s">
        <v>205</v>
      </c>
      <c r="C57" s="389">
        <f>C53*C55</f>
        <v>1.0592253567250387</v>
      </c>
      <c r="D57" s="390" t="s">
        <v>207</v>
      </c>
      <c r="E57" s="305"/>
      <c r="F57" s="305"/>
      <c r="G57" s="305"/>
      <c r="H57" s="305"/>
      <c r="I57" s="305"/>
    </row>
    <row r="58" spans="2:9" ht="13.5">
      <c r="B58" s="293" t="s">
        <v>53</v>
      </c>
      <c r="C58" s="353">
        <f>-C57</f>
        <v>-1.0592253567250387</v>
      </c>
      <c r="D58" s="391" t="s">
        <v>270</v>
      </c>
      <c r="E58" s="305"/>
      <c r="F58" s="305"/>
      <c r="G58" s="305"/>
      <c r="H58" s="305"/>
      <c r="I58" s="305"/>
    </row>
    <row r="59" spans="2:9" ht="13.5">
      <c r="B59" s="293" t="s">
        <v>271</v>
      </c>
      <c r="C59" s="353">
        <f>C57</f>
        <v>1.0592253567250387</v>
      </c>
      <c r="D59" s="391" t="s">
        <v>270</v>
      </c>
      <c r="E59" s="305"/>
      <c r="F59" s="305"/>
      <c r="G59" s="305"/>
      <c r="H59" s="305"/>
      <c r="I59" s="305"/>
    </row>
    <row r="60" spans="2:9" ht="15" thickBot="1">
      <c r="B60" s="392" t="s">
        <v>272</v>
      </c>
      <c r="C60" s="393"/>
      <c r="D60" s="394"/>
      <c r="E60" s="305"/>
      <c r="F60" s="305"/>
      <c r="G60" s="305"/>
      <c r="H60" s="305"/>
      <c r="I60" s="305"/>
    </row>
    <row r="61" spans="2:9" ht="13.5">
      <c r="B61" s="308"/>
      <c r="C61" s="313"/>
      <c r="D61" s="313"/>
      <c r="E61" s="305"/>
      <c r="F61" s="305"/>
      <c r="G61" s="305"/>
      <c r="H61" s="305"/>
      <c r="I61" s="305"/>
    </row>
    <row r="62" spans="1:9" ht="13.5">
      <c r="A62" s="249" t="s">
        <v>192</v>
      </c>
      <c r="B62" s="255" t="s">
        <v>273</v>
      </c>
      <c r="C62" s="346">
        <v>423.2</v>
      </c>
      <c r="D62" s="313"/>
      <c r="E62" s="305"/>
      <c r="F62" s="305"/>
      <c r="G62" s="305"/>
      <c r="H62" s="305"/>
      <c r="I62" s="305"/>
    </row>
    <row r="63" spans="2:9" ht="13.5">
      <c r="B63" s="255" t="s">
        <v>274</v>
      </c>
      <c r="C63" s="346">
        <v>421.4</v>
      </c>
      <c r="D63" s="313"/>
      <c r="E63" s="305"/>
      <c r="F63" s="305"/>
      <c r="G63" s="305"/>
      <c r="H63" s="305"/>
      <c r="I63" s="305"/>
    </row>
    <row r="64" spans="2:9" ht="13.5">
      <c r="B64" s="238" t="s">
        <v>275</v>
      </c>
      <c r="C64" s="346">
        <f>C62-C63</f>
        <v>1.8000000000000114</v>
      </c>
      <c r="D64" s="313"/>
      <c r="E64" s="305"/>
      <c r="F64" s="305"/>
      <c r="G64" s="305"/>
      <c r="H64" s="305"/>
      <c r="I64" s="305"/>
    </row>
    <row r="65" spans="2:9" ht="13.5">
      <c r="B65" s="238" t="s">
        <v>281</v>
      </c>
      <c r="C65" s="346">
        <f>C41/SQRT(C42)</f>
        <v>0.06940220937885672</v>
      </c>
      <c r="D65" s="313"/>
      <c r="E65" s="320"/>
      <c r="F65" s="320"/>
      <c r="G65" s="320"/>
      <c r="H65" s="320"/>
      <c r="I65" s="320"/>
    </row>
    <row r="66" spans="2:9" ht="13.5">
      <c r="B66" s="238" t="s">
        <v>282</v>
      </c>
      <c r="C66" s="346">
        <f>C41/SQRT(C43)</f>
        <v>0.6010407640085653</v>
      </c>
      <c r="D66" s="313"/>
      <c r="E66" s="320"/>
      <c r="F66" s="320"/>
      <c r="G66" s="320"/>
      <c r="H66" s="320"/>
      <c r="I66" s="320"/>
    </row>
    <row r="67" spans="2:9" ht="13.5">
      <c r="B67" s="238" t="s">
        <v>280</v>
      </c>
      <c r="C67" s="346">
        <f>C53</f>
        <v>0.6050344342817743</v>
      </c>
      <c r="D67" s="313"/>
      <c r="E67" s="320"/>
      <c r="F67" s="320"/>
      <c r="G67" s="320"/>
      <c r="H67" s="320"/>
      <c r="I67" s="320"/>
    </row>
    <row r="68" spans="2:9" ht="13.5">
      <c r="B68" s="238" t="s">
        <v>214</v>
      </c>
      <c r="C68" s="347">
        <v>78</v>
      </c>
      <c r="D68" s="313"/>
      <c r="E68" s="305"/>
      <c r="F68" s="305"/>
      <c r="G68" s="305"/>
      <c r="H68" s="305"/>
      <c r="I68" s="305"/>
    </row>
    <row r="69" spans="2:9" ht="13.5">
      <c r="B69" s="238" t="s">
        <v>206</v>
      </c>
      <c r="C69" s="305">
        <f>NORMSINV(1-((100-C68)/100)/2)</f>
        <v>1.22652812003661</v>
      </c>
      <c r="D69" s="313"/>
      <c r="E69" s="305"/>
      <c r="F69" s="305"/>
      <c r="G69" s="305"/>
      <c r="H69" s="305"/>
      <c r="I69" s="305"/>
    </row>
    <row r="70" spans="3:9" ht="13.5">
      <c r="C70" s="313"/>
      <c r="D70" s="313"/>
      <c r="E70" s="305"/>
      <c r="F70" s="305"/>
      <c r="G70" s="305"/>
      <c r="H70" s="305"/>
      <c r="I70" s="305"/>
    </row>
    <row r="71" spans="2:9" ht="15" thickBot="1">
      <c r="B71" s="259" t="s">
        <v>153</v>
      </c>
      <c r="C71" s="260" t="s">
        <v>154</v>
      </c>
      <c r="D71" s="260" t="s">
        <v>155</v>
      </c>
      <c r="E71" s="260" t="s">
        <v>156</v>
      </c>
      <c r="F71" s="260" t="s">
        <v>150</v>
      </c>
      <c r="H71" s="317"/>
      <c r="I71" s="318"/>
    </row>
    <row r="72" spans="2:9" ht="15" thickBot="1">
      <c r="B72" s="395" t="s">
        <v>215</v>
      </c>
      <c r="C72" s="396">
        <f>C62</f>
        <v>423.2</v>
      </c>
      <c r="D72" s="275">
        <f>$C$69*C65</f>
        <v>0.08512376139583631</v>
      </c>
      <c r="E72" s="304">
        <f>C72-D72</f>
        <v>423.11487623860415</v>
      </c>
      <c r="F72" s="304">
        <f>C72+D72</f>
        <v>423.2851237613958</v>
      </c>
      <c r="G72" s="320"/>
      <c r="H72" s="305"/>
      <c r="I72" s="305"/>
    </row>
    <row r="73" spans="2:9" ht="15" thickBot="1">
      <c r="B73" s="395" t="s">
        <v>151</v>
      </c>
      <c r="C73" s="396">
        <f>C63</f>
        <v>421.4</v>
      </c>
      <c r="D73" s="275">
        <f>$C$69*C66</f>
        <v>0.7371933983447935</v>
      </c>
      <c r="E73" s="304">
        <f>C73-D73</f>
        <v>420.6628066016552</v>
      </c>
      <c r="F73" s="304">
        <f>C73+D73</f>
        <v>422.1371933983448</v>
      </c>
      <c r="G73" s="320"/>
      <c r="H73" s="305"/>
      <c r="I73" s="305"/>
    </row>
    <row r="74" spans="2:9" ht="15" thickBot="1">
      <c r="B74" s="397" t="s">
        <v>152</v>
      </c>
      <c r="C74" s="396">
        <f>C64</f>
        <v>1.8000000000000114</v>
      </c>
      <c r="D74" s="275">
        <f>$C$69*C67</f>
        <v>0.7420917472370385</v>
      </c>
      <c r="E74" s="304">
        <f>C74-D74</f>
        <v>1.0579082527629728</v>
      </c>
      <c r="F74" s="304">
        <f>C74+D74</f>
        <v>2.54209174723705</v>
      </c>
      <c r="G74" s="320"/>
      <c r="H74" s="305"/>
      <c r="I74" s="305"/>
    </row>
    <row r="75" spans="1:9" ht="13.5">
      <c r="A75" s="265"/>
      <c r="B75" s="255"/>
      <c r="C75" s="299"/>
      <c r="D75" s="299"/>
      <c r="E75" s="304"/>
      <c r="F75" s="304"/>
      <c r="G75" s="320"/>
      <c r="H75" s="305"/>
      <c r="I75" s="305"/>
    </row>
    <row r="76" spans="1:9" ht="13.5">
      <c r="A76" s="249" t="s">
        <v>33</v>
      </c>
      <c r="B76" s="255" t="s">
        <v>295</v>
      </c>
      <c r="C76" s="335">
        <v>115</v>
      </c>
      <c r="D76" s="299"/>
      <c r="E76" s="299"/>
      <c r="F76" s="299"/>
      <c r="G76" s="313"/>
      <c r="H76" s="313"/>
      <c r="I76" s="313"/>
    </row>
    <row r="77" spans="2:9" ht="13.5">
      <c r="B77" s="238" t="s">
        <v>157</v>
      </c>
      <c r="C77" s="335">
        <f>C76</f>
        <v>115</v>
      </c>
      <c r="D77" s="299"/>
      <c r="E77" s="299"/>
      <c r="F77" s="299"/>
      <c r="G77" s="313"/>
      <c r="H77" s="313"/>
      <c r="I77" s="313"/>
    </row>
    <row r="78" spans="2:9" ht="13.5">
      <c r="B78" s="238" t="s">
        <v>278</v>
      </c>
      <c r="C78" s="352">
        <v>0.25</v>
      </c>
      <c r="D78" s="299"/>
      <c r="E78" s="299"/>
      <c r="F78" s="299"/>
      <c r="G78" s="313"/>
      <c r="H78" s="313"/>
      <c r="I78" s="313"/>
    </row>
    <row r="79" spans="2:9" ht="13.5">
      <c r="B79" s="238" t="s">
        <v>288</v>
      </c>
      <c r="C79" s="345">
        <v>0.08</v>
      </c>
      <c r="D79" s="299"/>
      <c r="E79" s="299"/>
      <c r="F79" s="299"/>
      <c r="G79" s="313"/>
      <c r="H79" s="313"/>
      <c r="I79" s="313"/>
    </row>
    <row r="80" spans="2:9" ht="13.5">
      <c r="B80" s="308"/>
      <c r="C80" s="348"/>
      <c r="D80" s="299"/>
      <c r="E80" s="299"/>
      <c r="F80" s="299"/>
      <c r="G80" s="313"/>
      <c r="H80" s="313"/>
      <c r="I80" s="313"/>
    </row>
    <row r="81" spans="2:9" ht="13.5">
      <c r="B81" s="238" t="s">
        <v>280</v>
      </c>
      <c r="C81" s="350">
        <f>SQRT(C41^2/C76+C41^2/C77)</f>
        <v>0.11209468047728378</v>
      </c>
      <c r="D81" s="299"/>
      <c r="E81" s="299"/>
      <c r="F81" s="299"/>
      <c r="G81" s="313"/>
      <c r="H81" s="313"/>
      <c r="I81" s="313"/>
    </row>
    <row r="82" spans="2:9" ht="13.5">
      <c r="B82" s="238" t="s">
        <v>158</v>
      </c>
      <c r="C82" s="351">
        <f>NORMSINV(1-C79)</f>
        <v>1.4050715603096329</v>
      </c>
      <c r="D82" s="299"/>
      <c r="E82" s="299"/>
      <c r="F82" s="299"/>
      <c r="G82" s="313"/>
      <c r="H82" s="313"/>
      <c r="I82" s="313"/>
    </row>
    <row r="83" spans="2:9" ht="13.5">
      <c r="B83" s="238" t="s">
        <v>159</v>
      </c>
      <c r="C83" s="333">
        <f>C81*C82</f>
        <v>0.15750104760062686</v>
      </c>
      <c r="E83" s="308"/>
      <c r="I83" s="305"/>
    </row>
    <row r="84" spans="2:9" ht="13.5">
      <c r="B84" s="308"/>
      <c r="C84" s="305"/>
      <c r="I84" s="305"/>
    </row>
    <row r="85" spans="2:9" ht="13.5">
      <c r="B85" s="308" t="s">
        <v>160</v>
      </c>
      <c r="C85" s="305"/>
      <c r="I85" s="305"/>
    </row>
    <row r="86" spans="2:9" ht="13.5">
      <c r="B86" s="238" t="s">
        <v>162</v>
      </c>
      <c r="C86" s="333">
        <f>(C78-C83)/C81</f>
        <v>0.825185923234941</v>
      </c>
      <c r="I86" s="305"/>
    </row>
    <row r="87" spans="2:9" ht="13.5">
      <c r="B87" s="238" t="s">
        <v>289</v>
      </c>
      <c r="C87" s="333" t="s">
        <v>161</v>
      </c>
      <c r="I87" s="305"/>
    </row>
    <row r="88" spans="1:9" ht="13.5">
      <c r="A88" s="265"/>
      <c r="B88" s="238" t="s">
        <v>163</v>
      </c>
      <c r="C88" s="353">
        <f>NORMSDIST(C86)</f>
        <v>0.7953669779928993</v>
      </c>
      <c r="I88" s="305"/>
    </row>
    <row r="89" spans="2:9" ht="15" thickBot="1">
      <c r="B89" s="255" t="s">
        <v>290</v>
      </c>
      <c r="C89" s="353">
        <v>0</v>
      </c>
      <c r="I89" s="305"/>
    </row>
    <row r="90" spans="2:9" ht="13.5">
      <c r="B90" s="398" t="s">
        <v>164</v>
      </c>
      <c r="C90" s="389">
        <f>C88-C89</f>
        <v>0.7953669779928993</v>
      </c>
      <c r="D90" s="399" t="s">
        <v>165</v>
      </c>
      <c r="E90" s="399"/>
      <c r="F90" s="399"/>
      <c r="G90" s="399"/>
      <c r="H90" s="400"/>
      <c r="I90" s="305"/>
    </row>
    <row r="91" spans="2:9" ht="15" thickBot="1">
      <c r="B91" s="295" t="s">
        <v>291</v>
      </c>
      <c r="C91" s="281">
        <f>1-C90</f>
        <v>0.20463302200710065</v>
      </c>
      <c r="D91" s="401" t="s">
        <v>166</v>
      </c>
      <c r="E91" s="401"/>
      <c r="F91" s="401"/>
      <c r="G91" s="401"/>
      <c r="H91" s="402"/>
      <c r="I91" s="305"/>
    </row>
    <row r="92" spans="1:9" ht="13.5">
      <c r="A92" s="265"/>
      <c r="B92" s="255"/>
      <c r="C92" s="354"/>
      <c r="I92" s="305"/>
    </row>
    <row r="93" spans="2:9" ht="13.5">
      <c r="B93" s="238"/>
      <c r="C93" s="354"/>
      <c r="D93" s="308"/>
      <c r="E93" s="313"/>
      <c r="I93" s="305"/>
    </row>
    <row r="94" spans="1:9" ht="13.5">
      <c r="A94" s="234" t="s">
        <v>168</v>
      </c>
      <c r="B94" s="259" t="s">
        <v>66</v>
      </c>
      <c r="C94" s="357" t="s">
        <v>67</v>
      </c>
      <c r="D94" s="358" t="s">
        <v>68</v>
      </c>
      <c r="E94" s="313"/>
      <c r="I94" s="305"/>
    </row>
    <row r="95" spans="2:9" ht="13.5">
      <c r="B95" s="255" t="s">
        <v>283</v>
      </c>
      <c r="C95" s="349">
        <v>3.34</v>
      </c>
      <c r="D95" s="336">
        <v>10.12</v>
      </c>
      <c r="E95" s="313"/>
      <c r="I95" s="305"/>
    </row>
    <row r="96" spans="2:9" ht="13.5">
      <c r="B96" s="255" t="s">
        <v>64</v>
      </c>
      <c r="C96" s="356">
        <v>6</v>
      </c>
      <c r="D96" s="356">
        <v>10</v>
      </c>
      <c r="I96" s="305"/>
    </row>
    <row r="97" spans="2:9" ht="13.5">
      <c r="B97" s="255" t="s">
        <v>65</v>
      </c>
      <c r="C97" s="356">
        <v>980</v>
      </c>
      <c r="D97" s="356">
        <v>900</v>
      </c>
      <c r="E97" s="313"/>
      <c r="I97" s="305"/>
    </row>
    <row r="98" spans="2:9" ht="13.5">
      <c r="B98" s="255"/>
      <c r="C98" s="308"/>
      <c r="E98" s="319"/>
      <c r="I98" s="305"/>
    </row>
    <row r="99" spans="2:9" ht="13.5">
      <c r="B99" s="255" t="s">
        <v>284</v>
      </c>
      <c r="C99" s="355">
        <f>C95^2/C96</f>
        <v>1.8592666666666666</v>
      </c>
      <c r="D99" s="359">
        <f>D95^2/D96</f>
        <v>10.241439999999999</v>
      </c>
      <c r="E99" s="313"/>
      <c r="I99" s="305"/>
    </row>
    <row r="100" spans="2:9" ht="13.5">
      <c r="B100" s="255"/>
      <c r="C100" s="308"/>
      <c r="D100" s="308"/>
      <c r="E100" s="305"/>
      <c r="I100" s="305"/>
    </row>
    <row r="101" spans="2:9" ht="13.5">
      <c r="B101" s="255" t="s">
        <v>280</v>
      </c>
      <c r="C101" s="360">
        <f>SQRT(C99+D99)</f>
        <v>3.4786070008937005</v>
      </c>
      <c r="D101" s="308"/>
      <c r="E101" s="305"/>
      <c r="I101" s="305"/>
    </row>
    <row r="102" spans="2:9" ht="13.5">
      <c r="B102" s="255" t="s">
        <v>69</v>
      </c>
      <c r="C102" s="308">
        <v>95</v>
      </c>
      <c r="I102" s="305"/>
    </row>
    <row r="103" spans="2:3" ht="13.5">
      <c r="B103" s="255" t="s">
        <v>70</v>
      </c>
      <c r="C103" s="354">
        <f>NORMSINV(1-((100-C102)/100)/2)</f>
        <v>1.959963984540054</v>
      </c>
    </row>
    <row r="104" spans="1:3" ht="13.5">
      <c r="A104" s="265"/>
      <c r="B104" s="255"/>
      <c r="C104" s="305"/>
    </row>
    <row r="105" spans="2:6" ht="15" thickBot="1">
      <c r="B105" s="255"/>
      <c r="C105" s="260" t="s">
        <v>154</v>
      </c>
      <c r="D105" s="260" t="s">
        <v>155</v>
      </c>
      <c r="E105" s="260" t="s">
        <v>156</v>
      </c>
      <c r="F105" s="260" t="s">
        <v>150</v>
      </c>
    </row>
    <row r="106" spans="2:6" ht="15" thickBot="1">
      <c r="B106" s="255"/>
      <c r="C106" s="403">
        <f>C97-D97</f>
        <v>80</v>
      </c>
      <c r="D106" s="275">
        <f>C101*C103</f>
        <v>6.817944438120544</v>
      </c>
      <c r="E106" s="361">
        <f>C106-D106</f>
        <v>73.18205556187945</v>
      </c>
      <c r="F106" s="361">
        <f>C106+D106</f>
        <v>86.81794443812055</v>
      </c>
    </row>
    <row r="107" spans="2:3" ht="13.5">
      <c r="B107" s="255"/>
      <c r="C107" s="313"/>
    </row>
    <row r="108" spans="2:3" ht="13.5">
      <c r="B108" s="255"/>
      <c r="C108" s="313"/>
    </row>
    <row r="109" spans="2:4" ht="13.5">
      <c r="B109" s="255"/>
      <c r="C109" s="305"/>
      <c r="D109" s="305"/>
    </row>
    <row r="110" ht="13.5">
      <c r="B110" s="255"/>
    </row>
    <row r="111" spans="2:3" ht="13.5">
      <c r="B111" s="255"/>
      <c r="C111" s="313"/>
    </row>
    <row r="112" spans="2:3" ht="13.5">
      <c r="B112" s="255"/>
      <c r="C112" s="305"/>
    </row>
    <row r="113" spans="2:3" ht="13.5">
      <c r="B113" s="354"/>
      <c r="C113" s="305"/>
    </row>
    <row r="114" ht="13.5">
      <c r="B114" s="354"/>
    </row>
    <row r="115" spans="2:3" ht="13.5">
      <c r="B115" s="354"/>
      <c r="C115" s="305"/>
    </row>
    <row r="116" spans="2:3" ht="13.5">
      <c r="B116" s="354"/>
      <c r="C116" s="305"/>
    </row>
    <row r="117" ht="13.5">
      <c r="C117" s="313"/>
    </row>
    <row r="119" ht="13.5">
      <c r="C119" s="305"/>
    </row>
    <row r="120" ht="13.5">
      <c r="C120" s="305"/>
    </row>
    <row r="121" ht="13.5">
      <c r="C121" s="305"/>
    </row>
    <row r="123" ht="13.5">
      <c r="C123" s="305"/>
    </row>
    <row r="124" ht="13.5">
      <c r="C124" s="305"/>
    </row>
    <row r="125" ht="13.5">
      <c r="C125" s="313"/>
    </row>
    <row r="127" ht="13.5">
      <c r="C127" s="305"/>
    </row>
    <row r="128" ht="13.5">
      <c r="C128" s="305"/>
    </row>
    <row r="129" ht="13.5">
      <c r="C129" s="305"/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125" zoomScaleNormal="125" workbookViewId="0" topLeftCell="A91">
      <selection activeCell="D143" sqref="D143"/>
    </sheetView>
  </sheetViews>
  <sheetFormatPr defaultColWidth="11.00390625" defaultRowHeight="12.75"/>
  <cols>
    <col min="1" max="1" width="4.25390625" style="425" customWidth="1"/>
    <col min="2" max="2" width="20.125" style="426" customWidth="1"/>
    <col min="3" max="12" width="11.25390625" style="406" customWidth="1"/>
    <col min="13" max="16384" width="10.75390625" style="406" customWidth="1"/>
  </cols>
  <sheetData>
    <row r="1" spans="1:3" s="404" customFormat="1" ht="13.5">
      <c r="A1" s="428" t="s">
        <v>303</v>
      </c>
      <c r="B1" s="424" t="s">
        <v>368</v>
      </c>
      <c r="C1" s="405"/>
    </row>
    <row r="2" spans="1:10" s="404" customFormat="1" ht="13.5">
      <c r="A2" s="424"/>
      <c r="B2" s="424"/>
      <c r="C2" s="415"/>
      <c r="D2" s="420" t="s">
        <v>22</v>
      </c>
      <c r="E2" s="420" t="s">
        <v>44</v>
      </c>
      <c r="F2" s="417"/>
      <c r="G2" s="405"/>
      <c r="H2" s="405"/>
      <c r="I2" s="405"/>
      <c r="J2" s="405"/>
    </row>
    <row r="3" spans="1:10" s="404" customFormat="1" ht="13.5">
      <c r="A3" s="424"/>
      <c r="B3" s="424"/>
      <c r="C3" s="415" t="s">
        <v>45</v>
      </c>
      <c r="D3" s="421"/>
      <c r="E3" s="421"/>
      <c r="F3" s="418">
        <v>100</v>
      </c>
      <c r="G3" s="405"/>
      <c r="H3" s="405"/>
      <c r="I3" s="405"/>
      <c r="J3" s="405"/>
    </row>
    <row r="4" spans="1:10" s="404" customFormat="1" ht="13.5">
      <c r="A4" s="424"/>
      <c r="B4" s="424"/>
      <c r="C4" s="415" t="s">
        <v>46</v>
      </c>
      <c r="D4" s="421"/>
      <c r="E4" s="421"/>
      <c r="F4" s="418">
        <f>F5-F3</f>
        <v>300</v>
      </c>
      <c r="G4" s="405"/>
      <c r="H4" s="405"/>
      <c r="I4" s="405"/>
      <c r="J4" s="405"/>
    </row>
    <row r="5" spans="1:10" s="404" customFormat="1" ht="13.5">
      <c r="A5" s="424"/>
      <c r="B5" s="424"/>
      <c r="C5" s="416"/>
      <c r="D5" s="422">
        <v>80</v>
      </c>
      <c r="E5" s="422">
        <f>F5-D5</f>
        <v>320</v>
      </c>
      <c r="F5" s="419">
        <v>400</v>
      </c>
      <c r="G5" s="406"/>
      <c r="H5" s="405"/>
      <c r="I5" s="405"/>
      <c r="J5" s="405"/>
    </row>
    <row r="6" spans="1:10" s="404" customFormat="1" ht="13.5">
      <c r="A6" s="424"/>
      <c r="B6" s="424"/>
      <c r="C6" s="405"/>
      <c r="D6" s="405"/>
      <c r="E6" s="405"/>
      <c r="F6" s="405"/>
      <c r="G6" s="406"/>
      <c r="H6" s="405"/>
      <c r="I6" s="405"/>
      <c r="J6" s="405"/>
    </row>
    <row r="7" spans="1:10" s="404" customFormat="1" ht="13.5">
      <c r="A7" s="424" t="s">
        <v>31</v>
      </c>
      <c r="B7" s="424" t="s">
        <v>47</v>
      </c>
      <c r="C7" s="415"/>
      <c r="D7" s="420" t="s">
        <v>22</v>
      </c>
      <c r="E7" s="420" t="s">
        <v>44</v>
      </c>
      <c r="F7" s="417"/>
      <c r="G7" s="405"/>
      <c r="H7" s="405"/>
      <c r="I7" s="405"/>
      <c r="J7" s="405"/>
    </row>
    <row r="8" spans="1:10" s="404" customFormat="1" ht="13.5">
      <c r="A8" s="423"/>
      <c r="B8" s="424"/>
      <c r="C8" s="415" t="s">
        <v>45</v>
      </c>
      <c r="D8" s="432">
        <f>D10*F8</f>
        <v>0.05</v>
      </c>
      <c r="E8" s="432">
        <f>F8*E10</f>
        <v>0.2</v>
      </c>
      <c r="F8" s="429">
        <f>F3/$F$5</f>
        <v>0.25</v>
      </c>
      <c r="G8" s="407"/>
      <c r="H8" s="407"/>
      <c r="I8" s="407"/>
      <c r="J8" s="407"/>
    </row>
    <row r="9" spans="1:10" s="404" customFormat="1" ht="13.5">
      <c r="A9" s="424"/>
      <c r="B9" s="424"/>
      <c r="C9" s="415" t="s">
        <v>46</v>
      </c>
      <c r="D9" s="432">
        <f>D10*F9</f>
        <v>0.15000000000000002</v>
      </c>
      <c r="E9" s="432">
        <f>F9*E10</f>
        <v>0.6000000000000001</v>
      </c>
      <c r="F9" s="429">
        <f>F4/$F$5</f>
        <v>0.75</v>
      </c>
      <c r="G9" s="407"/>
      <c r="H9" s="407"/>
      <c r="I9" s="407"/>
      <c r="J9" s="407"/>
    </row>
    <row r="10" spans="1:10" s="404" customFormat="1" ht="13.5">
      <c r="A10" s="424"/>
      <c r="B10" s="426"/>
      <c r="C10" s="416"/>
      <c r="D10" s="431">
        <f>D5/$F$5</f>
        <v>0.2</v>
      </c>
      <c r="E10" s="431">
        <f>E5/$F$5</f>
        <v>0.8</v>
      </c>
      <c r="F10" s="430">
        <f>F5/$F$5</f>
        <v>1</v>
      </c>
      <c r="G10" s="407"/>
      <c r="H10" s="407"/>
      <c r="I10" s="407"/>
      <c r="J10" s="407"/>
    </row>
    <row r="11" spans="1:10" s="404" customFormat="1" ht="15" thickBot="1">
      <c r="A11" s="424"/>
      <c r="B11" s="424"/>
      <c r="C11" s="408"/>
      <c r="D11" s="407"/>
      <c r="E11" s="407"/>
      <c r="F11" s="407"/>
      <c r="G11" s="407"/>
      <c r="H11" s="407"/>
      <c r="I11" s="407"/>
      <c r="J11" s="407"/>
    </row>
    <row r="12" spans="1:10" s="404" customFormat="1" ht="13.5">
      <c r="A12" s="424"/>
      <c r="B12" s="503" t="s">
        <v>369</v>
      </c>
      <c r="C12" s="504"/>
      <c r="D12" s="505" t="s">
        <v>22</v>
      </c>
      <c r="E12" s="505" t="s">
        <v>44</v>
      </c>
      <c r="F12" s="506"/>
      <c r="G12" s="407"/>
      <c r="H12" s="407"/>
      <c r="I12" s="407"/>
      <c r="J12" s="407"/>
    </row>
    <row r="13" spans="1:10" s="404" customFormat="1" ht="13.5">
      <c r="A13" s="423"/>
      <c r="B13" s="507"/>
      <c r="C13" s="437" t="s">
        <v>45</v>
      </c>
      <c r="D13" s="513">
        <f>D8*$F$5</f>
        <v>20</v>
      </c>
      <c r="E13" s="513">
        <f>E8*$F$5</f>
        <v>80</v>
      </c>
      <c r="F13" s="508">
        <v>100</v>
      </c>
      <c r="G13" s="407"/>
      <c r="H13" s="407"/>
      <c r="I13" s="407"/>
      <c r="J13" s="407"/>
    </row>
    <row r="14" spans="1:10" s="404" customFormat="1" ht="13.5">
      <c r="A14" s="424"/>
      <c r="B14" s="507"/>
      <c r="C14" s="437" t="s">
        <v>46</v>
      </c>
      <c r="D14" s="513">
        <f>D9*$F$5</f>
        <v>60.00000000000001</v>
      </c>
      <c r="E14" s="513">
        <f>E9*$F$5</f>
        <v>240.00000000000003</v>
      </c>
      <c r="F14" s="508">
        <v>300</v>
      </c>
      <c r="G14" s="407"/>
      <c r="H14" s="407"/>
      <c r="I14" s="407"/>
      <c r="J14" s="407"/>
    </row>
    <row r="15" spans="1:10" s="404" customFormat="1" ht="15" thickBot="1">
      <c r="A15" s="424"/>
      <c r="B15" s="509"/>
      <c r="C15" s="510"/>
      <c r="D15" s="511">
        <v>80</v>
      </c>
      <c r="E15" s="511">
        <v>320</v>
      </c>
      <c r="F15" s="512">
        <v>400</v>
      </c>
      <c r="G15" s="407"/>
      <c r="H15" s="407"/>
      <c r="I15" s="407"/>
      <c r="J15" s="407"/>
    </row>
    <row r="16" spans="1:10" s="404" customFormat="1" ht="15" thickBot="1">
      <c r="A16" s="424"/>
      <c r="B16" s="424"/>
      <c r="C16" s="407"/>
      <c r="D16" s="409"/>
      <c r="E16" s="409"/>
      <c r="F16" s="405"/>
      <c r="G16" s="405"/>
      <c r="H16" s="405"/>
      <c r="I16" s="405"/>
      <c r="J16" s="405"/>
    </row>
    <row r="17" spans="1:6" s="404" customFormat="1" ht="13.5">
      <c r="A17" s="424" t="s">
        <v>192</v>
      </c>
      <c r="B17" s="503" t="s">
        <v>370</v>
      </c>
      <c r="C17" s="504"/>
      <c r="D17" s="505" t="s">
        <v>22</v>
      </c>
      <c r="E17" s="505" t="s">
        <v>44</v>
      </c>
      <c r="F17" s="506"/>
    </row>
    <row r="18" spans="1:11" s="404" customFormat="1" ht="13.5">
      <c r="A18" s="424"/>
      <c r="B18" s="507"/>
      <c r="C18" s="437" t="s">
        <v>45</v>
      </c>
      <c r="D18" s="513">
        <v>0</v>
      </c>
      <c r="E18" s="513">
        <v>100</v>
      </c>
      <c r="F18" s="508">
        <v>100</v>
      </c>
      <c r="G18" s="405"/>
      <c r="H18" s="405"/>
      <c r="I18" s="405"/>
      <c r="J18" s="405"/>
      <c r="K18" s="405"/>
    </row>
    <row r="19" spans="1:11" s="404" customFormat="1" ht="13.5">
      <c r="A19" s="424"/>
      <c r="B19" s="514"/>
      <c r="C19" s="437" t="s">
        <v>46</v>
      </c>
      <c r="D19" s="513">
        <v>80</v>
      </c>
      <c r="E19" s="513">
        <v>220</v>
      </c>
      <c r="F19" s="508">
        <v>300</v>
      </c>
      <c r="G19" s="405"/>
      <c r="H19" s="405"/>
      <c r="I19" s="405"/>
      <c r="J19" s="405"/>
      <c r="K19" s="405"/>
    </row>
    <row r="20" spans="1:11" s="404" customFormat="1" ht="15" thickBot="1">
      <c r="A20" s="424"/>
      <c r="B20" s="515"/>
      <c r="C20" s="510"/>
      <c r="D20" s="511">
        <v>80</v>
      </c>
      <c r="E20" s="511">
        <v>320</v>
      </c>
      <c r="F20" s="512">
        <v>400</v>
      </c>
      <c r="G20" s="406"/>
      <c r="H20" s="405"/>
      <c r="I20" s="405"/>
      <c r="J20" s="405"/>
      <c r="K20" s="405"/>
    </row>
    <row r="21" spans="1:11" s="404" customFormat="1" ht="13.5">
      <c r="A21" s="424"/>
      <c r="B21" s="423"/>
      <c r="C21" s="405"/>
      <c r="D21" s="409"/>
      <c r="E21" s="409"/>
      <c r="F21" s="407"/>
      <c r="G21" s="406"/>
      <c r="H21" s="405"/>
      <c r="I21" s="405"/>
      <c r="J21" s="405"/>
      <c r="K21" s="405"/>
    </row>
    <row r="22" spans="1:11" s="404" customFormat="1" ht="13.5">
      <c r="A22" s="424" t="s">
        <v>33</v>
      </c>
      <c r="B22" s="424" t="s">
        <v>371</v>
      </c>
      <c r="C22" s="442">
        <f>D25/F25</f>
        <v>0.36</v>
      </c>
      <c r="D22" s="444" t="s">
        <v>233</v>
      </c>
      <c r="E22" s="404" t="s">
        <v>232</v>
      </c>
      <c r="F22" s="443">
        <f>C22*F25</f>
        <v>0.09</v>
      </c>
      <c r="G22" s="406"/>
      <c r="H22" s="405"/>
      <c r="I22" s="405"/>
      <c r="J22" s="405"/>
      <c r="K22" s="405"/>
    </row>
    <row r="23" spans="1:11" s="404" customFormat="1" ht="13.5">
      <c r="A23" s="424"/>
      <c r="B23" s="424"/>
      <c r="C23" s="405"/>
      <c r="D23" s="405"/>
      <c r="E23" s="405"/>
      <c r="F23" s="405"/>
      <c r="G23" s="405"/>
      <c r="H23" s="405"/>
      <c r="I23" s="405"/>
      <c r="J23" s="405"/>
      <c r="K23" s="405"/>
    </row>
    <row r="24" spans="1:11" s="404" customFormat="1" ht="13.5">
      <c r="A24" s="424"/>
      <c r="B24" s="424" t="s">
        <v>234</v>
      </c>
      <c r="C24" s="437"/>
      <c r="D24" s="438" t="s">
        <v>228</v>
      </c>
      <c r="E24" s="438" t="s">
        <v>229</v>
      </c>
      <c r="F24" s="429"/>
      <c r="G24" s="405"/>
      <c r="H24" s="405"/>
      <c r="I24" s="405"/>
      <c r="J24" s="407"/>
      <c r="K24" s="405"/>
    </row>
    <row r="25" spans="1:11" s="404" customFormat="1" ht="13.5">
      <c r="A25" s="424"/>
      <c r="B25" s="424"/>
      <c r="C25" s="437" t="s">
        <v>230</v>
      </c>
      <c r="D25" s="439">
        <v>0.09</v>
      </c>
      <c r="E25" s="439">
        <f>F25-D25</f>
        <v>0.16</v>
      </c>
      <c r="F25" s="440">
        <v>0.25</v>
      </c>
      <c r="G25" s="405"/>
      <c r="H25" s="405"/>
      <c r="I25" s="405"/>
      <c r="J25" s="407"/>
      <c r="K25" s="405"/>
    </row>
    <row r="26" spans="3:6" ht="13.5">
      <c r="C26" s="441" t="s">
        <v>231</v>
      </c>
      <c r="D26" s="439">
        <f>D27-D25</f>
        <v>0.11000000000000001</v>
      </c>
      <c r="E26" s="439">
        <f>F26-D26</f>
        <v>0.64</v>
      </c>
      <c r="F26" s="440">
        <v>0.75</v>
      </c>
    </row>
    <row r="27" spans="1:11" s="404" customFormat="1" ht="13.5">
      <c r="A27" s="423"/>
      <c r="B27" s="424"/>
      <c r="C27" s="436"/>
      <c r="D27" s="435">
        <v>0.2</v>
      </c>
      <c r="E27" s="435">
        <v>0.8</v>
      </c>
      <c r="F27" s="434">
        <v>1</v>
      </c>
      <c r="G27" s="407"/>
      <c r="H27" s="407"/>
      <c r="I27" s="405"/>
      <c r="J27" s="407"/>
      <c r="K27" s="407"/>
    </row>
    <row r="28" spans="1:11" s="404" customFormat="1" ht="15" thickBot="1">
      <c r="A28" s="423"/>
      <c r="B28" s="424"/>
      <c r="C28" s="407"/>
      <c r="D28" s="407"/>
      <c r="E28" s="405"/>
      <c r="F28" s="405"/>
      <c r="G28" s="407"/>
      <c r="H28" s="407"/>
      <c r="I28" s="405"/>
      <c r="J28" s="407"/>
      <c r="K28" s="407"/>
    </row>
    <row r="29" spans="1:11" s="404" customFormat="1" ht="13.5">
      <c r="A29" s="425"/>
      <c r="B29" s="516" t="s">
        <v>235</v>
      </c>
      <c r="C29" s="504"/>
      <c r="D29" s="505" t="s">
        <v>22</v>
      </c>
      <c r="E29" s="505" t="s">
        <v>44</v>
      </c>
      <c r="F29" s="506"/>
      <c r="G29" s="405"/>
      <c r="H29" s="405"/>
      <c r="I29" s="405"/>
      <c r="J29" s="407"/>
      <c r="K29" s="407"/>
    </row>
    <row r="30" spans="1:11" s="404" customFormat="1" ht="13.5">
      <c r="A30" s="425"/>
      <c r="B30" s="517"/>
      <c r="C30" s="437" t="s">
        <v>45</v>
      </c>
      <c r="D30" s="445">
        <f>D25*$F$32</f>
        <v>36</v>
      </c>
      <c r="E30" s="445">
        <f>E25*$F$32</f>
        <v>64</v>
      </c>
      <c r="F30" s="508">
        <v>100</v>
      </c>
      <c r="G30" s="405"/>
      <c r="H30" s="405"/>
      <c r="I30" s="405"/>
      <c r="J30" s="407"/>
      <c r="K30" s="407"/>
    </row>
    <row r="31" spans="1:11" s="404" customFormat="1" ht="13.5">
      <c r="A31" s="424"/>
      <c r="B31" s="507"/>
      <c r="C31" s="437" t="s">
        <v>46</v>
      </c>
      <c r="D31" s="445">
        <f>D26*$F$32</f>
        <v>44.00000000000001</v>
      </c>
      <c r="E31" s="445">
        <f>E26*$F$32</f>
        <v>256</v>
      </c>
      <c r="F31" s="508">
        <f>F32-F30</f>
        <v>300</v>
      </c>
      <c r="G31" s="405"/>
      <c r="H31" s="405"/>
      <c r="I31" s="405"/>
      <c r="J31" s="407"/>
      <c r="K31" s="407"/>
    </row>
    <row r="32" spans="1:11" s="404" customFormat="1" ht="15" thickBot="1">
      <c r="A32" s="424"/>
      <c r="B32" s="509"/>
      <c r="C32" s="510"/>
      <c r="D32" s="511">
        <v>80</v>
      </c>
      <c r="E32" s="511">
        <f>F32-D32</f>
        <v>320</v>
      </c>
      <c r="F32" s="512">
        <v>400</v>
      </c>
      <c r="G32" s="405"/>
      <c r="H32" s="405"/>
      <c r="I32" s="405"/>
      <c r="J32" s="407"/>
      <c r="K32" s="407"/>
    </row>
    <row r="33" spans="1:11" s="404" customFormat="1" ht="13.5">
      <c r="A33" s="424"/>
      <c r="B33" s="424"/>
      <c r="D33" s="405"/>
      <c r="J33" s="407"/>
      <c r="K33" s="407"/>
    </row>
    <row r="34" spans="1:11" s="404" customFormat="1" ht="13.5">
      <c r="A34" s="424"/>
      <c r="B34" s="424"/>
      <c r="C34" s="408"/>
      <c r="D34" s="405"/>
      <c r="E34" s="405"/>
      <c r="F34" s="405"/>
      <c r="G34" s="405"/>
      <c r="H34" s="405"/>
      <c r="I34" s="405"/>
      <c r="J34" s="407"/>
      <c r="K34" s="407"/>
    </row>
    <row r="35" spans="1:11" s="404" customFormat="1" ht="13.5">
      <c r="A35" s="428" t="s">
        <v>25</v>
      </c>
      <c r="B35" s="424" t="s">
        <v>238</v>
      </c>
      <c r="C35" s="430">
        <v>0.78</v>
      </c>
      <c r="D35" s="405"/>
      <c r="E35" s="405"/>
      <c r="F35" s="405"/>
      <c r="G35" s="405"/>
      <c r="H35" s="405"/>
      <c r="I35" s="405"/>
      <c r="J35" s="407"/>
      <c r="K35" s="407"/>
    </row>
    <row r="36" spans="1:11" s="404" customFormat="1" ht="13.5">
      <c r="A36" s="424"/>
      <c r="B36" s="462" t="s">
        <v>13</v>
      </c>
      <c r="C36" s="430">
        <v>0.6</v>
      </c>
      <c r="D36" s="405"/>
      <c r="E36" s="405"/>
      <c r="F36" s="405"/>
      <c r="G36" s="405"/>
      <c r="H36" s="405"/>
      <c r="I36" s="405"/>
      <c r="J36" s="407"/>
      <c r="K36" s="407"/>
    </row>
    <row r="37" spans="1:11" s="404" customFormat="1" ht="13.5">
      <c r="A37" s="424"/>
      <c r="B37" s="424" t="s">
        <v>239</v>
      </c>
      <c r="C37" s="430">
        <v>0.17</v>
      </c>
      <c r="D37" s="405"/>
      <c r="E37" s="405"/>
      <c r="F37" s="405"/>
      <c r="G37" s="405"/>
      <c r="H37" s="405"/>
      <c r="I37" s="405"/>
      <c r="J37" s="407"/>
      <c r="K37" s="407"/>
    </row>
    <row r="38" spans="1:11" s="404" customFormat="1" ht="15" thickBot="1">
      <c r="A38" s="424"/>
      <c r="B38" s="424"/>
      <c r="C38" s="407"/>
      <c r="D38" s="405"/>
      <c r="E38" s="405"/>
      <c r="F38" s="405"/>
      <c r="G38" s="405"/>
      <c r="H38" s="405"/>
      <c r="I38" s="405"/>
      <c r="J38" s="407"/>
      <c r="K38" s="407"/>
    </row>
    <row r="39" spans="1:11" s="404" customFormat="1" ht="15" thickBot="1">
      <c r="A39" s="424" t="s">
        <v>31</v>
      </c>
      <c r="B39" s="518" t="s">
        <v>236</v>
      </c>
      <c r="C39" s="405"/>
      <c r="D39" s="405"/>
      <c r="E39" s="405"/>
      <c r="F39" s="405"/>
      <c r="G39" s="405"/>
      <c r="H39" s="405"/>
      <c r="I39" s="405"/>
      <c r="J39" s="405"/>
      <c r="K39" s="405"/>
    </row>
    <row r="40" spans="1:11" s="404" customFormat="1" ht="15" thickBot="1">
      <c r="A40" s="424"/>
      <c r="B40" s="424"/>
      <c r="C40" s="405"/>
      <c r="D40" s="424" t="s">
        <v>82</v>
      </c>
      <c r="E40" s="447">
        <v>5000</v>
      </c>
      <c r="F40" s="405"/>
      <c r="G40" s="407"/>
      <c r="H40" s="407"/>
      <c r="I40" s="405"/>
      <c r="J40" s="405"/>
      <c r="K40" s="405"/>
    </row>
    <row r="41" spans="1:11" s="404" customFormat="1" ht="15">
      <c r="A41" s="424" t="s">
        <v>240</v>
      </c>
      <c r="B41" s="446" t="s">
        <v>237</v>
      </c>
      <c r="C41" s="449" t="s">
        <v>245</v>
      </c>
      <c r="D41" s="519" t="s">
        <v>170</v>
      </c>
      <c r="E41" s="522" t="s">
        <v>241</v>
      </c>
      <c r="F41" s="405"/>
      <c r="G41" s="407"/>
      <c r="H41" s="407"/>
      <c r="I41" s="405"/>
      <c r="J41" s="405"/>
      <c r="K41" s="405"/>
    </row>
    <row r="42" spans="1:11" s="404" customFormat="1" ht="13.5">
      <c r="A42" s="424"/>
      <c r="B42" s="424">
        <v>0</v>
      </c>
      <c r="C42" s="450">
        <f>B42^2</f>
        <v>0</v>
      </c>
      <c r="D42" s="541">
        <f>(1-C35)*(1-C37)</f>
        <v>0.18259999999999996</v>
      </c>
      <c r="E42" s="543">
        <f>D42*$E$40</f>
        <v>912.9999999999998</v>
      </c>
      <c r="F42" s="405"/>
      <c r="G42" s="407"/>
      <c r="H42" s="407"/>
      <c r="I42" s="405"/>
      <c r="J42" s="405"/>
      <c r="K42" s="405"/>
    </row>
    <row r="43" spans="1:11" s="404" customFormat="1" ht="13.5">
      <c r="A43" s="424"/>
      <c r="B43" s="424">
        <v>1</v>
      </c>
      <c r="C43" s="450">
        <f>B43^2</f>
        <v>1</v>
      </c>
      <c r="D43" s="541">
        <f>C35*C36+(1-C35)*(C37)</f>
        <v>0.5054</v>
      </c>
      <c r="E43" s="543">
        <f>D43*$E$40</f>
        <v>2527</v>
      </c>
      <c r="F43" s="407"/>
      <c r="G43" s="407"/>
      <c r="H43" s="407"/>
      <c r="I43" s="405"/>
      <c r="J43" s="405"/>
      <c r="K43" s="405"/>
    </row>
    <row r="44" spans="1:11" s="404" customFormat="1" ht="15" thickBot="1">
      <c r="A44" s="424"/>
      <c r="B44" s="424">
        <v>2</v>
      </c>
      <c r="C44" s="450">
        <f>B44^2</f>
        <v>4</v>
      </c>
      <c r="D44" s="542">
        <f>C35*(1-C36)</f>
        <v>0.31200000000000006</v>
      </c>
      <c r="E44" s="544">
        <f>D44*$E$40</f>
        <v>1560.0000000000002</v>
      </c>
      <c r="F44" s="407"/>
      <c r="G44" s="407"/>
      <c r="H44" s="407"/>
      <c r="I44" s="405"/>
      <c r="J44" s="405"/>
      <c r="K44" s="405"/>
    </row>
    <row r="45" spans="1:11" s="404" customFormat="1" ht="13.5">
      <c r="A45" s="424"/>
      <c r="B45" s="424"/>
      <c r="C45" s="408"/>
      <c r="D45" s="407"/>
      <c r="E45" s="407"/>
      <c r="F45" s="407"/>
      <c r="G45" s="407"/>
      <c r="H45" s="407"/>
      <c r="I45" s="405"/>
      <c r="J45" s="405"/>
      <c r="K45" s="405"/>
    </row>
    <row r="46" spans="1:11" s="404" customFormat="1" ht="13.5">
      <c r="A46" s="424" t="s">
        <v>34</v>
      </c>
      <c r="B46" s="462" t="s">
        <v>242</v>
      </c>
      <c r="C46" s="486">
        <f>SUMPRODUCT(D42:D44,B42:B44)</f>
        <v>1.1294</v>
      </c>
      <c r="D46" s="405"/>
      <c r="E46" s="405"/>
      <c r="F46" s="405"/>
      <c r="G46" s="405"/>
      <c r="H46" s="405"/>
      <c r="I46" s="405"/>
      <c r="J46" s="405"/>
      <c r="K46" s="405"/>
    </row>
    <row r="47" spans="1:11" s="404" customFormat="1" ht="13.5">
      <c r="A47" s="424"/>
      <c r="B47" s="462" t="s">
        <v>243</v>
      </c>
      <c r="C47" s="486">
        <f>SUMPRODUCT(C42:C44,D42:D44)-C46^2</f>
        <v>0.47785564000000025</v>
      </c>
      <c r="D47" s="407"/>
      <c r="E47" s="407"/>
      <c r="F47" s="407"/>
      <c r="G47" s="405"/>
      <c r="H47" s="405"/>
      <c r="I47" s="405"/>
      <c r="J47" s="405"/>
      <c r="K47" s="405"/>
    </row>
    <row r="48" spans="1:6" s="405" customFormat="1" ht="13.5">
      <c r="A48" s="462"/>
      <c r="B48" s="462" t="s">
        <v>244</v>
      </c>
      <c r="C48" s="486">
        <f>SQRT(C47)</f>
        <v>0.6912710322297617</v>
      </c>
      <c r="D48" s="477"/>
      <c r="E48" s="477"/>
      <c r="F48" s="477"/>
    </row>
    <row r="49" spans="1:11" s="404" customFormat="1" ht="13.5">
      <c r="A49" s="424"/>
      <c r="B49" s="462" t="s">
        <v>14</v>
      </c>
      <c r="C49" s="465">
        <v>1</v>
      </c>
      <c r="D49" s="407"/>
      <c r="E49" s="407"/>
      <c r="F49" s="407"/>
      <c r="G49" s="405"/>
      <c r="H49" s="405"/>
      <c r="I49" s="405"/>
      <c r="J49" s="405"/>
      <c r="K49" s="405"/>
    </row>
    <row r="50" spans="1:3" s="404" customFormat="1" ht="13.5">
      <c r="A50" s="424"/>
      <c r="B50" s="424"/>
      <c r="C50" s="405"/>
    </row>
    <row r="51" spans="1:9" s="404" customFormat="1" ht="13.5">
      <c r="A51" s="424"/>
      <c r="B51" s="424"/>
      <c r="C51" s="407"/>
      <c r="D51" s="405"/>
      <c r="E51" s="405"/>
      <c r="F51" s="405"/>
      <c r="G51" s="405"/>
      <c r="H51" s="405"/>
      <c r="I51" s="405"/>
    </row>
    <row r="52" spans="1:6" ht="13.5">
      <c r="A52" s="451" t="s">
        <v>168</v>
      </c>
      <c r="B52" s="433" t="s">
        <v>255</v>
      </c>
      <c r="C52" s="407">
        <v>25</v>
      </c>
      <c r="D52" s="407"/>
      <c r="E52" s="407"/>
      <c r="F52" s="407"/>
    </row>
    <row r="53" spans="2:6" ht="13.5">
      <c r="B53" s="452" t="s">
        <v>256</v>
      </c>
      <c r="C53" s="407">
        <v>15</v>
      </c>
      <c r="D53" s="410"/>
      <c r="E53" s="410"/>
      <c r="F53" s="411"/>
    </row>
    <row r="54" spans="2:9" ht="13.5">
      <c r="B54" s="452" t="s">
        <v>257</v>
      </c>
      <c r="C54" s="407">
        <f>SQRT(C53)</f>
        <v>3.872983346207417</v>
      </c>
      <c r="D54" s="412"/>
      <c r="E54" s="412"/>
      <c r="F54" s="412"/>
      <c r="G54" s="412"/>
      <c r="H54" s="412"/>
      <c r="I54" s="413"/>
    </row>
    <row r="55" spans="1:9" ht="15" thickBot="1">
      <c r="A55" s="426"/>
      <c r="B55" s="425"/>
      <c r="C55" s="405"/>
      <c r="D55" s="405"/>
      <c r="E55" s="407"/>
      <c r="F55" s="407"/>
      <c r="G55" s="407"/>
      <c r="H55" s="407"/>
      <c r="I55" s="407"/>
    </row>
    <row r="56" spans="1:9" ht="13.5">
      <c r="A56" s="425" t="s">
        <v>31</v>
      </c>
      <c r="C56" s="456" t="s">
        <v>251</v>
      </c>
      <c r="D56" s="526" t="s">
        <v>252</v>
      </c>
      <c r="E56" s="453" t="s">
        <v>246</v>
      </c>
      <c r="F56" s="454" t="s">
        <v>247</v>
      </c>
      <c r="G56" s="453" t="s">
        <v>248</v>
      </c>
      <c r="H56" s="453" t="s">
        <v>249</v>
      </c>
      <c r="I56" s="453" t="s">
        <v>250</v>
      </c>
    </row>
    <row r="57" spans="2:9" ht="15" thickBot="1">
      <c r="B57" s="425"/>
      <c r="C57" s="457">
        <v>19</v>
      </c>
      <c r="D57" s="521">
        <f>C52+F57*C54</f>
        <v>23.5146386849144</v>
      </c>
      <c r="E57" s="457">
        <f>(C57-C52)/C54</f>
        <v>-1.5491933384829668</v>
      </c>
      <c r="F57" s="457">
        <f>NORMSINV(H57)</f>
        <v>-0.3835186424284852</v>
      </c>
      <c r="G57" s="457">
        <f>NORMSDIST(E57)</f>
        <v>0.06066762517924107</v>
      </c>
      <c r="H57" s="457">
        <f>G57+I57</f>
        <v>0.35066762517924105</v>
      </c>
      <c r="I57" s="448">
        <v>0.29</v>
      </c>
    </row>
    <row r="58" spans="2:9" ht="13.5">
      <c r="B58" s="425"/>
      <c r="C58" s="407"/>
      <c r="D58" s="407"/>
      <c r="E58" s="407"/>
      <c r="F58" s="407"/>
      <c r="G58" s="407"/>
      <c r="H58" s="407"/>
      <c r="I58" s="407"/>
    </row>
    <row r="59" spans="3:9" ht="13.5">
      <c r="C59" s="407"/>
      <c r="D59" s="405"/>
      <c r="E59" s="407"/>
      <c r="F59" s="407"/>
      <c r="G59" s="407"/>
      <c r="H59" s="407"/>
      <c r="I59" s="407"/>
    </row>
    <row r="60" spans="1:9" ht="13.5">
      <c r="A60" s="425" t="s">
        <v>32</v>
      </c>
      <c r="B60" s="426" t="s">
        <v>338</v>
      </c>
      <c r="C60" s="458">
        <v>3</v>
      </c>
      <c r="D60" s="405"/>
      <c r="E60" s="407"/>
      <c r="F60" s="407"/>
      <c r="G60" s="407"/>
      <c r="H60" s="407"/>
      <c r="I60" s="407"/>
    </row>
    <row r="61" spans="2:9" ht="15.75">
      <c r="B61" s="452" t="s">
        <v>336</v>
      </c>
      <c r="C61" s="430">
        <f>C53/C60</f>
        <v>5</v>
      </c>
      <c r="D61" s="405"/>
      <c r="E61" s="407"/>
      <c r="F61" s="407"/>
      <c r="G61" s="407"/>
      <c r="H61" s="407"/>
      <c r="I61" s="407"/>
    </row>
    <row r="62" spans="2:9" ht="15.75">
      <c r="B62" s="452" t="s">
        <v>337</v>
      </c>
      <c r="C62" s="459">
        <f>SQRT(C61)</f>
        <v>2.23606797749979</v>
      </c>
      <c r="D62" s="405"/>
      <c r="E62" s="407"/>
      <c r="F62" s="407"/>
      <c r="G62" s="407"/>
      <c r="H62" s="407"/>
      <c r="I62" s="407"/>
    </row>
    <row r="63" spans="3:9" ht="15" thickBot="1">
      <c r="C63" s="407"/>
      <c r="D63" s="405"/>
      <c r="E63" s="407"/>
      <c r="F63" s="407"/>
      <c r="G63" s="407"/>
      <c r="H63" s="407"/>
      <c r="I63" s="407"/>
    </row>
    <row r="64" spans="3:9" ht="13.5">
      <c r="C64" s="456" t="s">
        <v>253</v>
      </c>
      <c r="D64" s="526" t="s">
        <v>254</v>
      </c>
      <c r="E64" s="453" t="s">
        <v>246</v>
      </c>
      <c r="F64" s="454" t="s">
        <v>247</v>
      </c>
      <c r="G64" s="453" t="s">
        <v>248</v>
      </c>
      <c r="H64" s="453" t="s">
        <v>249</v>
      </c>
      <c r="I64" s="453" t="s">
        <v>250</v>
      </c>
    </row>
    <row r="65" spans="2:9" ht="15" thickBot="1">
      <c r="B65" s="424"/>
      <c r="C65" s="460">
        <v>19</v>
      </c>
      <c r="D65" s="521">
        <f>C52+F65*C62</f>
        <v>23.786336485439325</v>
      </c>
      <c r="E65" s="457">
        <f>(C65-C52)/C62</f>
        <v>-2.6832815729997477</v>
      </c>
      <c r="F65" s="457">
        <f>NORMSINV(H65)</f>
        <v>-0.5427668240737957</v>
      </c>
      <c r="G65" s="457">
        <f>NORMSDIST(E65)</f>
        <v>0.003645179045767888</v>
      </c>
      <c r="H65" s="457">
        <f>G65+I65</f>
        <v>0.29364517904576787</v>
      </c>
      <c r="I65" s="460">
        <v>0.29</v>
      </c>
    </row>
    <row r="66" spans="2:9" ht="13.5">
      <c r="B66" s="424"/>
      <c r="C66" s="407"/>
      <c r="D66" s="405"/>
      <c r="E66" s="407"/>
      <c r="F66" s="407"/>
      <c r="G66" s="407"/>
      <c r="H66" s="407"/>
      <c r="I66" s="407"/>
    </row>
    <row r="67" spans="2:9" ht="13.5">
      <c r="B67" s="424"/>
      <c r="C67" s="407"/>
      <c r="D67" s="405"/>
      <c r="E67" s="407"/>
      <c r="F67" s="407"/>
      <c r="G67" s="407"/>
      <c r="H67" s="407"/>
      <c r="I67" s="407"/>
    </row>
    <row r="68" spans="1:9" ht="13.5">
      <c r="A68" s="451" t="s">
        <v>341</v>
      </c>
      <c r="B68" s="424" t="s">
        <v>82</v>
      </c>
      <c r="C68" s="461">
        <v>110</v>
      </c>
      <c r="F68" s="407"/>
      <c r="G68" s="407"/>
      <c r="H68" s="407"/>
      <c r="I68" s="407"/>
    </row>
    <row r="69" spans="2:9" ht="13.5">
      <c r="B69" s="462" t="s">
        <v>339</v>
      </c>
      <c r="C69" s="430">
        <v>0.055</v>
      </c>
      <c r="D69" s="405"/>
      <c r="E69" s="407"/>
      <c r="F69" s="407"/>
      <c r="G69" s="407"/>
      <c r="H69" s="407"/>
      <c r="I69" s="407"/>
    </row>
    <row r="70" spans="2:9" ht="13.5">
      <c r="B70" s="433" t="s">
        <v>255</v>
      </c>
      <c r="C70" s="463">
        <f>C68*C69</f>
        <v>6.05</v>
      </c>
      <c r="D70" s="405"/>
      <c r="E70" s="407"/>
      <c r="F70" s="407"/>
      <c r="G70" s="407"/>
      <c r="H70" s="407"/>
      <c r="I70" s="407"/>
    </row>
    <row r="71" spans="2:9" ht="13.5">
      <c r="B71" s="452" t="s">
        <v>256</v>
      </c>
      <c r="C71" s="463">
        <f>C68*C69*(1-C69)</f>
        <v>5.71725</v>
      </c>
      <c r="D71" s="405"/>
      <c r="E71" s="407"/>
      <c r="F71" s="407"/>
      <c r="G71" s="407"/>
      <c r="H71" s="407"/>
      <c r="I71" s="407"/>
    </row>
    <row r="72" spans="2:9" ht="13.5">
      <c r="B72" s="452" t="s">
        <v>257</v>
      </c>
      <c r="C72" s="463">
        <f>SQRT(C71)</f>
        <v>2.3910771631212575</v>
      </c>
      <c r="D72" s="412"/>
      <c r="E72" s="412"/>
      <c r="F72" s="412"/>
      <c r="H72" s="412"/>
      <c r="I72" s="413"/>
    </row>
    <row r="73" spans="2:9" ht="13.5">
      <c r="B73" s="452"/>
      <c r="C73" s="463"/>
      <c r="D73" s="412"/>
      <c r="E73" s="412"/>
      <c r="F73" s="412"/>
      <c r="H73" s="412"/>
      <c r="I73" s="413"/>
    </row>
    <row r="74" spans="2:9" ht="15" thickBot="1">
      <c r="B74" s="455" t="s">
        <v>340</v>
      </c>
      <c r="C74" s="407"/>
      <c r="D74" s="407"/>
      <c r="E74" s="407"/>
      <c r="F74" s="407"/>
      <c r="G74" s="407"/>
      <c r="H74" s="407"/>
      <c r="I74" s="407"/>
    </row>
    <row r="75" spans="2:9" ht="13.5">
      <c r="B75" s="425"/>
      <c r="C75" s="456" t="s">
        <v>251</v>
      </c>
      <c r="D75" s="456" t="s">
        <v>252</v>
      </c>
      <c r="E75" s="453" t="s">
        <v>246</v>
      </c>
      <c r="F75" s="454" t="s">
        <v>247</v>
      </c>
      <c r="G75" s="453" t="s">
        <v>248</v>
      </c>
      <c r="H75" s="453" t="s">
        <v>249</v>
      </c>
      <c r="I75" s="527" t="s">
        <v>250</v>
      </c>
    </row>
    <row r="76" spans="3:9" ht="15" thickBot="1">
      <c r="C76" s="464">
        <v>-0.5</v>
      </c>
      <c r="D76" s="448">
        <v>8.5</v>
      </c>
      <c r="E76" s="464">
        <f>(C76-C70)/C72</f>
        <v>-2.739351159813588</v>
      </c>
      <c r="F76" s="448">
        <f>(D76-C70)/C72</f>
        <v>1.024642800235617</v>
      </c>
      <c r="G76" s="448">
        <f>NORMSDIST(E76)</f>
        <v>0.0030780290867797877</v>
      </c>
      <c r="H76" s="448">
        <f>NORMSDIST(F76)</f>
        <v>0.8472341192036885</v>
      </c>
      <c r="I76" s="521">
        <f>H76-G76</f>
        <v>0.8441560901169087</v>
      </c>
    </row>
    <row r="77" spans="1:9" ht="13.5">
      <c r="A77" s="427"/>
      <c r="C77" s="405"/>
      <c r="D77" s="405"/>
      <c r="E77" s="407"/>
      <c r="F77" s="407"/>
      <c r="G77" s="407"/>
      <c r="H77" s="407"/>
      <c r="I77" s="407"/>
    </row>
    <row r="78" spans="3:9" ht="13.5">
      <c r="C78" s="405"/>
      <c r="D78" s="405"/>
      <c r="E78" s="405"/>
      <c r="F78" s="405"/>
      <c r="G78" s="405"/>
      <c r="H78" s="405"/>
      <c r="I78" s="405"/>
    </row>
    <row r="79" spans="1:9" ht="13.5">
      <c r="A79" s="451" t="s">
        <v>342</v>
      </c>
      <c r="B79" s="452" t="s">
        <v>256</v>
      </c>
      <c r="C79" s="463">
        <f>C80^2</f>
        <v>3.0625</v>
      </c>
      <c r="D79" s="405"/>
      <c r="E79" s="405"/>
      <c r="F79" s="405"/>
      <c r="G79" s="405"/>
      <c r="H79" s="405"/>
      <c r="I79" s="405"/>
    </row>
    <row r="80" spans="2:9" ht="13.5">
      <c r="B80" s="452" t="s">
        <v>257</v>
      </c>
      <c r="C80" s="463">
        <v>1.75</v>
      </c>
      <c r="D80" s="405"/>
      <c r="E80" s="405"/>
      <c r="F80" s="405"/>
      <c r="G80" s="405"/>
      <c r="H80" s="405"/>
      <c r="I80" s="405"/>
    </row>
    <row r="81" spans="2:9" ht="13.5">
      <c r="B81" s="424" t="s">
        <v>343</v>
      </c>
      <c r="C81" s="465">
        <v>13</v>
      </c>
      <c r="D81" s="405"/>
      <c r="E81" s="405"/>
      <c r="F81" s="405"/>
      <c r="G81" s="405"/>
      <c r="H81" s="405"/>
      <c r="I81" s="405"/>
    </row>
    <row r="82" spans="2:9" ht="13.5">
      <c r="B82" s="424" t="s">
        <v>344</v>
      </c>
      <c r="C82" s="465">
        <v>1</v>
      </c>
      <c r="D82" s="405"/>
      <c r="E82" s="405"/>
      <c r="F82" s="405"/>
      <c r="G82" s="405"/>
      <c r="H82" s="405"/>
      <c r="I82" s="405"/>
    </row>
    <row r="83" spans="2:9" ht="13.5">
      <c r="B83" s="424" t="s">
        <v>345</v>
      </c>
      <c r="C83" s="466">
        <v>2.98</v>
      </c>
      <c r="D83" s="405"/>
      <c r="E83" s="405"/>
      <c r="F83" s="405"/>
      <c r="G83" s="405"/>
      <c r="H83" s="405"/>
      <c r="I83" s="405"/>
    </row>
    <row r="84" spans="2:9" ht="13.5">
      <c r="B84" s="424" t="s">
        <v>346</v>
      </c>
      <c r="C84" s="466">
        <v>4.12</v>
      </c>
      <c r="D84" s="405"/>
      <c r="E84" s="405"/>
      <c r="F84" s="405"/>
      <c r="G84" s="405"/>
      <c r="H84" s="405"/>
      <c r="I84" s="405"/>
    </row>
    <row r="85" spans="2:9" ht="13.5">
      <c r="B85" s="433" t="s">
        <v>347</v>
      </c>
      <c r="C85" s="430">
        <v>0.02</v>
      </c>
      <c r="E85" s="404"/>
      <c r="I85" s="407"/>
    </row>
    <row r="86" spans="2:9" ht="15" thickBot="1">
      <c r="B86" s="424"/>
      <c r="C86" s="407"/>
      <c r="I86" s="407"/>
    </row>
    <row r="87" spans="1:9" ht="13.5">
      <c r="A87" s="425" t="s">
        <v>31</v>
      </c>
      <c r="B87" s="503" t="s">
        <v>348</v>
      </c>
      <c r="C87" s="528" t="s">
        <v>349</v>
      </c>
      <c r="I87" s="407"/>
    </row>
    <row r="88" spans="2:9" ht="13.5">
      <c r="B88" s="507" t="s">
        <v>350</v>
      </c>
      <c r="C88" s="529" t="s">
        <v>351</v>
      </c>
      <c r="I88" s="407"/>
    </row>
    <row r="89" spans="2:9" ht="13.5">
      <c r="B89" s="507"/>
      <c r="C89" s="530"/>
      <c r="I89" s="407"/>
    </row>
    <row r="90" spans="1:9" ht="13.5">
      <c r="A90" s="427"/>
      <c r="B90" s="507" t="s">
        <v>352</v>
      </c>
      <c r="C90" s="530" t="s">
        <v>12</v>
      </c>
      <c r="I90" s="407"/>
    </row>
    <row r="91" spans="2:9" ht="13.5">
      <c r="B91" s="514"/>
      <c r="C91" s="530"/>
      <c r="I91" s="407"/>
    </row>
    <row r="92" spans="2:9" ht="13.5">
      <c r="B92" s="531" t="s">
        <v>353</v>
      </c>
      <c r="C92" s="530"/>
      <c r="I92" s="407"/>
    </row>
    <row r="93" spans="2:9" ht="13.5">
      <c r="B93" s="532" t="s">
        <v>255</v>
      </c>
      <c r="C93" s="524">
        <v>0</v>
      </c>
      <c r="I93" s="407"/>
    </row>
    <row r="94" spans="1:9" ht="13.5">
      <c r="A94" s="427"/>
      <c r="B94" s="533" t="s">
        <v>354</v>
      </c>
      <c r="C94" s="524">
        <f>C79/C81+C79/C82</f>
        <v>3.298076923076923</v>
      </c>
      <c r="I94" s="407"/>
    </row>
    <row r="95" spans="2:9" ht="13.5">
      <c r="B95" s="533" t="s">
        <v>355</v>
      </c>
      <c r="C95" s="524">
        <f>SQRT(C94)</f>
        <v>1.8160608258196977</v>
      </c>
      <c r="D95" s="404"/>
      <c r="E95" s="405"/>
      <c r="I95" s="407"/>
    </row>
    <row r="96" spans="1:9" ht="13.5">
      <c r="A96" s="427"/>
      <c r="B96" s="534"/>
      <c r="C96" s="535"/>
      <c r="D96" s="414"/>
      <c r="E96" s="405"/>
      <c r="I96" s="407"/>
    </row>
    <row r="97" spans="2:9" ht="13.5">
      <c r="B97" s="514" t="s">
        <v>356</v>
      </c>
      <c r="C97" s="524">
        <f>NORMSINV(1-C85)</f>
        <v>2.0537489106318203</v>
      </c>
      <c r="E97" s="405"/>
      <c r="I97" s="407"/>
    </row>
    <row r="98" spans="2:9" ht="13.5">
      <c r="B98" s="514" t="s">
        <v>357</v>
      </c>
      <c r="C98" s="524">
        <f>C93+C97*C95</f>
        <v>3.729732942668328</v>
      </c>
      <c r="D98" s="405"/>
      <c r="I98" s="407"/>
    </row>
    <row r="99" spans="2:9" ht="13.5">
      <c r="B99" s="514" t="s">
        <v>358</v>
      </c>
      <c r="C99" s="524">
        <f>C84-C83</f>
        <v>1.1400000000000001</v>
      </c>
      <c r="D99" s="405"/>
      <c r="E99" s="405"/>
      <c r="I99" s="407"/>
    </row>
    <row r="100" spans="2:9" ht="15" thickBot="1">
      <c r="B100" s="515" t="s">
        <v>310</v>
      </c>
      <c r="C100" s="536"/>
      <c r="E100" s="408"/>
      <c r="I100" s="407"/>
    </row>
    <row r="101" spans="3:9" ht="13.5">
      <c r="C101" s="407"/>
      <c r="D101" s="407"/>
      <c r="E101" s="405"/>
      <c r="I101" s="407"/>
    </row>
    <row r="102" spans="1:3" ht="13.5">
      <c r="A102" s="425" t="s">
        <v>314</v>
      </c>
      <c r="B102" s="433" t="s">
        <v>315</v>
      </c>
      <c r="C102" s="476">
        <v>4.25</v>
      </c>
    </row>
    <row r="103" spans="2:4" ht="13.5">
      <c r="B103" s="433" t="s">
        <v>316</v>
      </c>
      <c r="C103" s="476">
        <v>2.66</v>
      </c>
      <c r="D103" s="407"/>
    </row>
    <row r="104" spans="2:3" ht="13.5">
      <c r="B104" s="433" t="s">
        <v>317</v>
      </c>
      <c r="C104" s="478">
        <f>C102-C103</f>
        <v>1.5899999999999999</v>
      </c>
    </row>
    <row r="105" ht="13.5">
      <c r="C105" s="405"/>
    </row>
    <row r="106" spans="2:3" ht="13.5">
      <c r="B106" s="430" t="s">
        <v>318</v>
      </c>
      <c r="C106" s="407"/>
    </row>
    <row r="107" spans="2:3" ht="13.5">
      <c r="B107" s="433" t="s">
        <v>255</v>
      </c>
      <c r="C107" s="430">
        <f>C104</f>
        <v>1.5899999999999999</v>
      </c>
    </row>
    <row r="108" spans="2:3" ht="13.5">
      <c r="B108" s="452" t="s">
        <v>354</v>
      </c>
      <c r="C108" s="430">
        <f>C94</f>
        <v>3.298076923076923</v>
      </c>
    </row>
    <row r="109" spans="2:3" ht="13.5">
      <c r="B109" s="452" t="s">
        <v>355</v>
      </c>
      <c r="C109" s="430">
        <f>C95</f>
        <v>1.8160608258196977</v>
      </c>
    </row>
    <row r="110" ht="13.5">
      <c r="C110" s="407"/>
    </row>
    <row r="111" spans="2:9" ht="13.5">
      <c r="B111" s="426" t="s">
        <v>319</v>
      </c>
      <c r="C111" s="456" t="s">
        <v>251</v>
      </c>
      <c r="D111" s="456" t="s">
        <v>252</v>
      </c>
      <c r="E111" s="453" t="s">
        <v>246</v>
      </c>
      <c r="F111" s="454" t="s">
        <v>247</v>
      </c>
      <c r="G111" s="453" t="s">
        <v>248</v>
      </c>
      <c r="H111" s="453" t="s">
        <v>249</v>
      </c>
      <c r="I111" s="480" t="s">
        <v>32</v>
      </c>
    </row>
    <row r="112" spans="3:9" ht="13.5">
      <c r="C112" s="479" t="s">
        <v>320</v>
      </c>
      <c r="D112" s="448">
        <f>C98</f>
        <v>3.729732942668328</v>
      </c>
      <c r="E112" s="479" t="s">
        <v>320</v>
      </c>
      <c r="F112" s="464">
        <f>(D112-C107)/C109</f>
        <v>1.1782275748955366</v>
      </c>
      <c r="G112" s="448">
        <v>0</v>
      </c>
      <c r="H112" s="448">
        <f>NORMSDIST(F112)</f>
        <v>0.8806470538986608</v>
      </c>
      <c r="I112" s="448">
        <f>H112-G112</f>
        <v>0.8806470538986608</v>
      </c>
    </row>
    <row r="113" ht="15" thickBot="1">
      <c r="C113" s="407"/>
    </row>
    <row r="114" spans="2:3" ht="15" thickBot="1">
      <c r="B114" s="538" t="s">
        <v>321</v>
      </c>
      <c r="C114" s="539">
        <f>1-I112</f>
        <v>0.11935294610133917</v>
      </c>
    </row>
    <row r="115" ht="13.5">
      <c r="C115" s="407"/>
    </row>
    <row r="116" spans="1:9" ht="13.5">
      <c r="A116" s="425" t="s">
        <v>33</v>
      </c>
      <c r="B116" s="426" t="s">
        <v>359</v>
      </c>
      <c r="C116" s="467">
        <v>0.83</v>
      </c>
      <c r="D116" s="404"/>
      <c r="E116" s="407"/>
      <c r="I116" s="407"/>
    </row>
    <row r="117" spans="2:9" ht="13.5">
      <c r="B117" s="426" t="s">
        <v>360</v>
      </c>
      <c r="C117" s="430">
        <f>NORMSINV((1-C116)/2+C116)</f>
        <v>1.3722038089987256</v>
      </c>
      <c r="D117" s="404"/>
      <c r="E117" s="407"/>
      <c r="I117" s="407"/>
    </row>
    <row r="118" spans="3:9" ht="15" thickBot="1">
      <c r="C118" s="404"/>
      <c r="I118" s="407"/>
    </row>
    <row r="119" spans="2:8" s="468" customFormat="1" ht="27.75">
      <c r="B119" s="471" t="s">
        <v>305</v>
      </c>
      <c r="C119" s="469" t="s">
        <v>361</v>
      </c>
      <c r="D119" s="470" t="s">
        <v>362</v>
      </c>
      <c r="E119" s="470" t="s">
        <v>309</v>
      </c>
      <c r="F119" s="537" t="s">
        <v>311</v>
      </c>
      <c r="G119" s="470" t="s">
        <v>312</v>
      </c>
      <c r="H119" s="470" t="s">
        <v>313</v>
      </c>
    </row>
    <row r="120" spans="1:8" ht="13.5">
      <c r="A120" s="427"/>
      <c r="B120" s="426" t="s">
        <v>306</v>
      </c>
      <c r="C120" s="407">
        <f>C84</f>
        <v>4.12</v>
      </c>
      <c r="D120" s="473">
        <f>SQRT($C$79/C82)</f>
        <v>1.75</v>
      </c>
      <c r="E120" s="474">
        <f>$C$117</f>
        <v>1.3722038089987256</v>
      </c>
      <c r="F120" s="520">
        <f>D120*E120</f>
        <v>2.4013566657477696</v>
      </c>
      <c r="G120" s="475">
        <f>C120-F120</f>
        <v>1.7186433342522305</v>
      </c>
      <c r="H120" s="475">
        <f>C120+F120</f>
        <v>6.52135666574777</v>
      </c>
    </row>
    <row r="121" spans="2:8" ht="13.5">
      <c r="B121" s="426" t="s">
        <v>307</v>
      </c>
      <c r="C121" s="477">
        <f>C83</f>
        <v>2.98</v>
      </c>
      <c r="D121" s="473">
        <f>SQRT($C$79/C81)</f>
        <v>0.4853626716970755</v>
      </c>
      <c r="E121" s="474">
        <f>$C$117</f>
        <v>1.3722038089987256</v>
      </c>
      <c r="F121" s="520">
        <f>D121*E121</f>
        <v>0.666016506848525</v>
      </c>
      <c r="G121" s="475">
        <f>C121-F121</f>
        <v>2.313983493151475</v>
      </c>
      <c r="H121" s="475">
        <f>C121+F121</f>
        <v>3.646016506848525</v>
      </c>
    </row>
    <row r="122" spans="2:8" ht="15" thickBot="1">
      <c r="B122" s="426" t="s">
        <v>308</v>
      </c>
      <c r="C122" s="472">
        <f>C99</f>
        <v>1.1400000000000001</v>
      </c>
      <c r="D122" s="448">
        <f>C95</f>
        <v>1.8160608258196977</v>
      </c>
      <c r="E122" s="474">
        <f>$C$117</f>
        <v>1.3722038089987256</v>
      </c>
      <c r="F122" s="521">
        <f>D122*E122</f>
        <v>2.4920055825631606</v>
      </c>
      <c r="G122" s="475">
        <f>C122-F122</f>
        <v>-1.3520055825631605</v>
      </c>
      <c r="H122" s="475">
        <f>C122+F122</f>
        <v>3.6320055825631608</v>
      </c>
    </row>
    <row r="123" ht="13.5">
      <c r="C123" s="405"/>
    </row>
    <row r="125" spans="1:4" ht="28.5" thickBot="1">
      <c r="A125" s="451" t="s">
        <v>322</v>
      </c>
      <c r="C125" s="481" t="s">
        <v>324</v>
      </c>
      <c r="D125" s="481" t="s">
        <v>323</v>
      </c>
    </row>
    <row r="126" spans="3:4" ht="13.5">
      <c r="C126" s="483">
        <v>1</v>
      </c>
      <c r="D126" s="482">
        <v>3.2</v>
      </c>
    </row>
    <row r="127" spans="3:4" ht="13.5">
      <c r="C127" s="483">
        <v>2</v>
      </c>
      <c r="D127" s="482">
        <v>3.7</v>
      </c>
    </row>
    <row r="128" spans="3:4" ht="13.5">
      <c r="C128" s="483">
        <v>3</v>
      </c>
      <c r="D128" s="482">
        <v>3</v>
      </c>
    </row>
    <row r="129" spans="3:4" ht="15" thickBot="1">
      <c r="C129" s="484">
        <v>4</v>
      </c>
      <c r="D129" s="481">
        <v>3.1</v>
      </c>
    </row>
    <row r="130" spans="3:4" ht="13.5">
      <c r="C130" s="426" t="s">
        <v>326</v>
      </c>
      <c r="D130" s="485">
        <f>SUM(D126:D129)</f>
        <v>13</v>
      </c>
    </row>
    <row r="131" spans="3:4" ht="15">
      <c r="C131" s="426" t="s">
        <v>325</v>
      </c>
      <c r="D131" s="485">
        <f>SUMSQ(D126:D129)</f>
        <v>42.540000000000006</v>
      </c>
    </row>
    <row r="132" ht="15" thickBot="1"/>
    <row r="133" spans="1:3" ht="13.5">
      <c r="A133" s="425" t="s">
        <v>31</v>
      </c>
      <c r="B133" s="540" t="s">
        <v>81</v>
      </c>
      <c r="C133" s="523">
        <f>AVERAGE($D$126:$D$129)</f>
        <v>3.25</v>
      </c>
    </row>
    <row r="134" spans="2:3" ht="13.5">
      <c r="B134" s="514" t="s">
        <v>327</v>
      </c>
      <c r="C134" s="524">
        <f>VARP($D$126:$D$129)</f>
        <v>0.07250000000000156</v>
      </c>
    </row>
    <row r="135" spans="2:3" ht="15" thickBot="1">
      <c r="B135" s="515" t="s">
        <v>328</v>
      </c>
      <c r="C135" s="525">
        <f>SQRT(C134)</f>
        <v>0.26925824035672813</v>
      </c>
    </row>
    <row r="136" ht="15" thickBot="1"/>
    <row r="137" spans="1:3" ht="13.5">
      <c r="A137" s="425" t="s">
        <v>192</v>
      </c>
      <c r="B137" s="503" t="s">
        <v>329</v>
      </c>
      <c r="C137" s="523">
        <f>AVERAGE($D$126:$D$129)</f>
        <v>3.25</v>
      </c>
    </row>
    <row r="138" spans="2:3" ht="13.5">
      <c r="B138" s="514" t="s">
        <v>331</v>
      </c>
      <c r="C138" s="524">
        <f>VAR($D$126:$D$129)</f>
        <v>0.09666666666666875</v>
      </c>
    </row>
    <row r="139" spans="2:3" ht="15" thickBot="1">
      <c r="B139" s="515" t="s">
        <v>330</v>
      </c>
      <c r="C139" s="525">
        <f>SQRT(C138)</f>
        <v>0.31091263510296385</v>
      </c>
    </row>
    <row r="140" ht="15" thickBot="1"/>
    <row r="141" spans="1:3" ht="13.5">
      <c r="A141" s="425" t="s">
        <v>332</v>
      </c>
      <c r="B141" s="503" t="s">
        <v>333</v>
      </c>
      <c r="C141" s="523">
        <f>AVERAGE($D$126:$D$129)</f>
        <v>3.25</v>
      </c>
    </row>
    <row r="142" spans="2:3" ht="13.5">
      <c r="B142" s="514" t="s">
        <v>334</v>
      </c>
      <c r="C142" s="524">
        <f>C138/4</f>
        <v>0.024166666666667187</v>
      </c>
    </row>
    <row r="143" spans="2:3" ht="15" thickBot="1">
      <c r="B143" s="515" t="s">
        <v>335</v>
      </c>
      <c r="C143" s="525">
        <f>SQRT(C142)</f>
        <v>0.15545631755148193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Loftus</dc:creator>
  <cp:keywords/>
  <dc:description/>
  <cp:lastModifiedBy>Geoffrey Loftus</cp:lastModifiedBy>
  <cp:lastPrinted>2009-01-30T19:24:06Z</cp:lastPrinted>
  <dcterms:created xsi:type="dcterms:W3CDTF">2005-01-11T19:08:43Z</dcterms:created>
  <dcterms:modified xsi:type="dcterms:W3CDTF">2010-03-12T22:18:12Z</dcterms:modified>
  <cp:category/>
  <cp:version/>
  <cp:contentType/>
  <cp:contentStatus/>
</cp:coreProperties>
</file>