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4440" yWindow="2760" windowWidth="21420" windowHeight="27180" tabRatio="736" activeTab="4"/>
  </bookViews>
  <sheets>
    <sheet name="Exam 1" sheetId="1" r:id="rId1"/>
    <sheet name="Exam 2" sheetId="2" r:id="rId2"/>
    <sheet name="Exam 3" sheetId="3" r:id="rId3"/>
    <sheet name="Exam 4)" sheetId="4" r:id="rId4"/>
    <sheet name="Final Exam" sheetId="5" r:id="rId5"/>
    <sheet name="Final Exam (2)" sheetId="6" r:id="rId6"/>
  </sheets>
  <definedNames>
    <definedName name="_xlnm.Print_Area" localSheetId="0">'Exam 1'!$A$1:$H$52</definedName>
    <definedName name="_xlnm.Print_Area" localSheetId="1">'Exam 2'!$A$1:$F$64</definedName>
  </definedNames>
  <calcPr fullCalcOnLoad="1"/>
</workbook>
</file>

<file path=xl/sharedStrings.xml><?xml version="1.0" encoding="utf-8"?>
<sst xmlns="http://schemas.openxmlformats.org/spreadsheetml/2006/main" count="388" uniqueCount="255">
  <si>
    <t>p(L)</t>
  </si>
  <si>
    <t>Example Plot:</t>
  </si>
  <si>
    <t xml:space="preserve">= length x width </t>
  </si>
  <si>
    <t>= .50 x .20 =</t>
  </si>
  <si>
    <t>L = length (centimeters)</t>
  </si>
  <si>
    <t>Variance</t>
  </si>
  <si>
    <t>Day</t>
  </si>
  <si>
    <t>est mu</t>
  </si>
  <si>
    <t>est sigmasq</t>
  </si>
  <si>
    <t>est sigma</t>
  </si>
  <si>
    <t>sqrt((n-1)/n) = sqrt (9/10) =</t>
  </si>
  <si>
    <t>Rescaling ordinate: 0.0, 0.5, 1.0, 1.5, 2.0</t>
  </si>
  <si>
    <t xml:space="preserve">No of plates = </t>
  </si>
  <si>
    <t>(24^3)*8*(4 choose 1)</t>
  </si>
  <si>
    <t xml:space="preserve">.3^7*.7^14*(21 choose 7) = </t>
  </si>
  <si>
    <t>Rescaling abscissa: 0.00, 0.25, 0.50</t>
  </si>
  <si>
    <t>c</t>
  </si>
  <si>
    <t>(.75 x 1.5)/2=</t>
  </si>
  <si>
    <t>d</t>
  </si>
  <si>
    <t>1-(.50 x 1)/2=</t>
  </si>
  <si>
    <t>e</t>
  </si>
  <si>
    <t>f</t>
  </si>
  <si>
    <t>M</t>
  </si>
  <si>
    <t>Md</t>
  </si>
  <si>
    <t>Mo</t>
  </si>
  <si>
    <t>Var</t>
  </si>
  <si>
    <t>SD</t>
  </si>
  <si>
    <t xml:space="preserve"> c</t>
  </si>
  <si>
    <t>v^2p(v)</t>
  </si>
  <si>
    <t>vp(v)</t>
  </si>
  <si>
    <t>Mode</t>
  </si>
  <si>
    <t>Year</t>
  </si>
  <si>
    <t>32^4=</t>
  </si>
  <si>
    <t xml:space="preserve">prob = 442,368/1,048,576 = </t>
  </si>
  <si>
    <t>Reject H0 if the observed number of peanuts, P, is lower than a criterion</t>
  </si>
  <si>
    <t>b, c</t>
  </si>
  <si>
    <t xml:space="preserve"> = alpha</t>
  </si>
  <si>
    <t>mu</t>
  </si>
  <si>
    <t>sigma</t>
  </si>
  <si>
    <t>sigmasq</t>
  </si>
  <si>
    <t>known X1</t>
  </si>
  <si>
    <t>known X2</t>
  </si>
  <si>
    <t>compute z1 from X1, mu, sigma</t>
  </si>
  <si>
    <t>1</t>
  </si>
  <si>
    <t>N</t>
  </si>
  <si>
    <t>p</t>
  </si>
  <si>
    <t>X1</t>
  </si>
  <si>
    <t>X2</t>
  </si>
  <si>
    <t>Z1</t>
  </si>
  <si>
    <t>Z2</t>
  </si>
  <si>
    <t>F(z1)</t>
  </si>
  <si>
    <t>F(Z2)</t>
  </si>
  <si>
    <t>2</t>
  </si>
  <si>
    <t>HO</t>
  </si>
  <si>
    <t>mu1 = mu2</t>
  </si>
  <si>
    <t>H1</t>
  </si>
  <si>
    <t>mu1 &lt; mu2</t>
  </si>
  <si>
    <t>SS</t>
  </si>
  <si>
    <t>Mean difference: (M2 - M1)</t>
  </si>
  <si>
    <t>Variance changes the most; eliminating the extreme value, which considerably reduces the variablity</t>
  </si>
  <si>
    <t>V = {0, 5, 10, 15}</t>
  </si>
  <si>
    <t>all combinations of how the die comes up (6 equiprobable possibiilties)</t>
  </si>
  <si>
    <t>A: All strings containing at least one vowel</t>
  </si>
  <si>
    <t>B: All strings containing at least one consonant</t>
  </si>
  <si>
    <t xml:space="preserve">sigma = </t>
  </si>
  <si>
    <t>Decision Rule:</t>
  </si>
  <si>
    <t xml:space="preserve">Reject H0 if obtained (M2-M1) &gt; </t>
  </si>
  <si>
    <t>Decision:</t>
  </si>
  <si>
    <t xml:space="preserve">Percent confidence = </t>
  </si>
  <si>
    <t xml:space="preserve">Criterion z = </t>
  </si>
  <si>
    <t xml:space="preserve">Score = (M2-M1) = </t>
  </si>
  <si>
    <t>Confidence interval: plus/minus</t>
  </si>
  <si>
    <t xml:space="preserve">standard error of score = </t>
  </si>
  <si>
    <t>Obtained (M2-M1)</t>
  </si>
  <si>
    <t>(sigma(M2-M1) from above)</t>
  </si>
  <si>
    <t>3</t>
  </si>
  <si>
    <t>mu1 &lt; mu2 - 2</t>
  </si>
  <si>
    <t>mu1 = mu2 - 2</t>
  </si>
  <si>
    <t>Reject H0</t>
  </si>
  <si>
    <t>4</t>
  </si>
  <si>
    <t>= 1/2 + 1/3 - (1/2)*(1/3) =</t>
  </si>
  <si>
    <t>mu(M2-M1) = 0</t>
  </si>
  <si>
    <t>Obtained (M2-M1) &gt; Criterion (M2-M1);  reject H0</t>
  </si>
  <si>
    <t xml:space="preserve">Confidence interval: 12.0 ± </t>
  </si>
  <si>
    <t>Not independent. This can be shown in many ways, for instance</t>
  </si>
  <si>
    <t xml:space="preserve">p(Sp|H) = </t>
  </si>
  <si>
    <t xml:space="preserve">p(Sp|notH) = </t>
  </si>
  <si>
    <t>3b</t>
  </si>
  <si>
    <t>3c</t>
  </si>
  <si>
    <t>From contingency table:</t>
  </si>
  <si>
    <t>4a</t>
  </si>
  <si>
    <t>V = {1, 2, 3, 4}</t>
  </si>
  <si>
    <t>p(1CH and 0NH)</t>
  </si>
  <si>
    <t>less than 5% cashews means one or zero cashews</t>
  </si>
  <si>
    <t>1*1*20*30*(4 choose 2)*2!) =</t>
  </si>
  <si>
    <t>i.e.,  30^2 "other characters", times (4 choose 2) positions of 7 and 3, times 2! orders of 7, 3</t>
  </si>
  <si>
    <t>Adicto-Colas</t>
  </si>
  <si>
    <t>Expected Loss per play:</t>
  </si>
  <si>
    <t>Total Expected loss:</t>
  </si>
  <si>
    <t>Number of plays:</t>
  </si>
  <si>
    <t>cc prob</t>
  </si>
  <si>
    <t>binom prob</t>
  </si>
  <si>
    <t xml:space="preserve">sigmasq(M2-M1) = </t>
  </si>
  <si>
    <t xml:space="preserve">1 - (.9^21*.1^0*(21 choose 21)) = </t>
  </si>
  <si>
    <t xml:space="preserve">p(P+W)&lt;21 = 1-p(P+W=21) = </t>
  </si>
  <si>
    <t>H0: p(P) = .3</t>
  </si>
  <si>
    <t>H1: p(P) &lt;.3</t>
  </si>
  <si>
    <t>If H0 true: SS distr binomially with</t>
  </si>
  <si>
    <t>P = Number of peanuts</t>
  </si>
  <si>
    <t>p(P)</t>
  </si>
  <si>
    <t>p(&lt;=P)</t>
  </si>
  <si>
    <t>Answers to all parts of Question 3 are below</t>
  </si>
  <si>
    <t>SS: No. of peanuts out of 15</t>
  </si>
  <si>
    <t>N = 15 p = .3</t>
  </si>
  <si>
    <t>all card possibilities (52 equiprobable possibilities)</t>
  </si>
  <si>
    <t>2c-e</t>
  </si>
  <si>
    <t>2e</t>
  </si>
  <si>
    <t>1c</t>
  </si>
  <si>
    <t>1d</t>
  </si>
  <si>
    <t>A: All strings containing only the letters E-Z</t>
  </si>
  <si>
    <t>B: All strings containing only the letters A-C</t>
  </si>
  <si>
    <t>A: All strings containing only the letters D-W</t>
  </si>
  <si>
    <t>Define...</t>
  </si>
  <si>
    <t>A:</t>
  </si>
  <si>
    <t>Die comes up "1"</t>
  </si>
  <si>
    <t>not-A</t>
  </si>
  <si>
    <t>Die comes up "2" - "6"</t>
  </si>
  <si>
    <t>If H0 true, then SS is distributed with</t>
  </si>
  <si>
    <t xml:space="preserve">mu(M2-M1) = </t>
  </si>
  <si>
    <t xml:space="preserve">sigmasq(M2-m1) = </t>
  </si>
  <si>
    <t>sigmasq(M2) + sigmasq(M1)</t>
  </si>
  <si>
    <t>= sigmasq/n2 + sigmasq/n1</t>
  </si>
  <si>
    <t xml:space="preserve">sigmasq = </t>
  </si>
  <si>
    <t xml:space="preserve">n1 = </t>
  </si>
  <si>
    <t xml:space="preserve">n2 = </t>
  </si>
  <si>
    <t xml:space="preserve">sigma(M2-M1) = </t>
  </si>
  <si>
    <t xml:space="preserve">Criterion (M2-M1) = </t>
  </si>
  <si>
    <t xml:space="preserve">alpha = </t>
  </si>
  <si>
    <t xml:space="preserve">criterion z = </t>
  </si>
  <si>
    <t xml:space="preserve">M1 = </t>
  </si>
  <si>
    <t xml:space="preserve">M2 = </t>
  </si>
  <si>
    <t>compute z2 from X2, mu, sigma</t>
  </si>
  <si>
    <t>compute F(z1) from z1</t>
  </si>
  <si>
    <t>compute F(z2) from z2</t>
  </si>
  <si>
    <t>compute probability from F(z2) and F(z1)</t>
  </si>
  <si>
    <t>p(2CH and 1 NH) or p(1CH and 2NH)</t>
  </si>
  <si>
    <t>p(2CH and 2NH)</t>
  </si>
  <si>
    <t>p(1CH and 1NH) or p(2CH and  0NH)</t>
  </si>
  <si>
    <t>4b</t>
  </si>
  <si>
    <t>4c</t>
  </si>
  <si>
    <t>4d</t>
  </si>
  <si>
    <t>How this comes about</t>
  </si>
  <si>
    <t>See f(v) part of 4b</t>
  </si>
  <si>
    <t>Total area = 1.0</t>
  </si>
  <si>
    <t>p(A and B) = p(A) x p(B)</t>
  </si>
  <si>
    <t>p(A)+p(B)-p(A and B)</t>
  </si>
  <si>
    <t>p(A and notB) = p(A) x p(notB)</t>
  </si>
  <si>
    <t>p(A)+p(notB)-p(A and notB)</t>
  </si>
  <si>
    <t>2a</t>
  </si>
  <si>
    <t>3a</t>
  </si>
  <si>
    <t>v</t>
  </si>
  <si>
    <t>p(v)</t>
  </si>
  <si>
    <t>All 12 combinations of coin (H/T) and die outcome (1-6)</t>
  </si>
  <si>
    <t>p(AUB) = p(A) + p(B) - p(A&amp;B)</t>
  </si>
  <si>
    <t>D</t>
  </si>
  <si>
    <t>C</t>
  </si>
  <si>
    <t>coin: Heads</t>
  </si>
  <si>
    <t>coin: Tails</t>
  </si>
  <si>
    <t>p(9,011 ≤ X ≤ 9,040)</t>
  </si>
  <si>
    <t>F(Z1)</t>
  </si>
  <si>
    <t>p(8,990 ≤ X ≤ 9,020)</t>
  </si>
  <si>
    <t>7</t>
  </si>
  <si>
    <t>H0</t>
  </si>
  <si>
    <t xml:space="preserve"> mu1 = mu2</t>
  </si>
  <si>
    <t>(M2-M1)</t>
  </si>
  <si>
    <t>If H0 true, (M2-M1) distributed with,</t>
  </si>
  <si>
    <t>n1</t>
  </si>
  <si>
    <t>n2</t>
  </si>
  <si>
    <t>M1</t>
  </si>
  <si>
    <t>M2</t>
  </si>
  <si>
    <t>sigma(M2-M1) =sqrt( sigmasq/n2+sigmasq/n1)</t>
  </si>
  <si>
    <t>Criterion (M2-M1) = sigma(M2-M1) x criterion z =</t>
  </si>
  <si>
    <t>alpha level</t>
  </si>
  <si>
    <t>criterion z</t>
  </si>
  <si>
    <t xml:space="preserve">Obtained (M2-M1) = </t>
  </si>
  <si>
    <t xml:space="preserve">Criterion zs: ± </t>
  </si>
  <si>
    <t xml:space="preserve">Percent confidence: </t>
  </si>
  <si>
    <t xml:space="preserve">Confidence interval: (M2-M1)± </t>
  </si>
  <si>
    <t>Confidence interval around M1...</t>
  </si>
  <si>
    <t>Confidence interval around (M2-M1)...</t>
  </si>
  <si>
    <t xml:space="preserve">sigma(M1) = </t>
  </si>
  <si>
    <t xml:space="preserve">Confidence interval: M1± </t>
  </si>
  <si>
    <t xml:space="preserve">Confidence interval: 22.4 ± </t>
  </si>
  <si>
    <t>known probability</t>
  </si>
  <si>
    <t>compute F(z2) from known prob and F(z1)</t>
  </si>
  <si>
    <t>compute z2 from F(z2)</t>
  </si>
  <si>
    <t>compute X2 from z2 mu, and sigma</t>
  </si>
  <si>
    <t xml:space="preserve">p(C=0) = .1^0*.9^21*(21 choose 0) = </t>
  </si>
  <si>
    <t xml:space="preserve">p(C=1) = .1^1*.9^20*(21 choose 1) = </t>
  </si>
  <si>
    <t xml:space="preserve">p(C=1 or 2) = </t>
  </si>
  <si>
    <t>Examples only</t>
  </si>
  <si>
    <t>1a</t>
  </si>
  <si>
    <t>B:</t>
  </si>
  <si>
    <t>1b</t>
  </si>
  <si>
    <t>B: All strings containing only the letters A-D</t>
  </si>
  <si>
    <t>T</t>
  </si>
  <si>
    <t>f(v)</t>
  </si>
  <si>
    <t>H</t>
  </si>
  <si>
    <t>p(A)</t>
  </si>
  <si>
    <t>1b-d</t>
  </si>
  <si>
    <t>Countably infinite</t>
  </si>
  <si>
    <t>A: All strings containing  the letter A</t>
  </si>
  <si>
    <t>B: All strings not containing the letter A</t>
  </si>
  <si>
    <t>1e</t>
  </si>
  <si>
    <t xml:space="preserve"> = 0.200+ 0.100+0.100+0.350=0.750</t>
  </si>
  <si>
    <t xml:space="preserve">p(0) = </t>
  </si>
  <si>
    <t xml:space="preserve">+ p(1) = </t>
  </si>
  <si>
    <t xml:space="preserve"> = p(H and Sp)+p(H and Di)+p(Ht and Cl) +  p(Ht and notH)</t>
  </si>
  <si>
    <t>a</t>
  </si>
  <si>
    <t>The area is equal to 2.0</t>
  </si>
  <si>
    <t>b</t>
  </si>
  <si>
    <t>FYI: Actual ratio =</t>
  </si>
  <si>
    <t>5</t>
  </si>
  <si>
    <t xml:space="preserve">(21 choose 4) x 4 factorial x (8 choose 2) x 2 factorial + (8 choose 5) x 5 factorial x (21 choose 3) x 3 factorial </t>
  </si>
  <si>
    <t>6</t>
  </si>
  <si>
    <t>Use normal approximation</t>
  </si>
  <si>
    <t xml:space="preserve">N = </t>
  </si>
  <si>
    <t xml:space="preserve">p = </t>
  </si>
  <si>
    <t xml:space="preserve">mu = </t>
  </si>
  <si>
    <t>If H1 true then SS is distributed with</t>
  </si>
  <si>
    <t>(from Problem 2a)</t>
  </si>
  <si>
    <t>z for beta</t>
  </si>
  <si>
    <t>beta</t>
  </si>
  <si>
    <t>Power</t>
  </si>
  <si>
    <t>After collecting data...</t>
  </si>
  <si>
    <t>Before collecting data...</t>
  </si>
  <si>
    <t>mu(M2-M1) + (criterion z * sigma(M2-M1))</t>
  </si>
  <si>
    <t>Card comes up a Heart or Jack or both</t>
  </si>
  <si>
    <t>not-B</t>
  </si>
  <si>
    <t>Card comes up neither a Heart nor a Jack</t>
  </si>
  <si>
    <t>Sample space:</t>
  </si>
  <si>
    <t>combined with...</t>
  </si>
  <si>
    <t>Total number of elementary events:  6 x 52 = 312</t>
  </si>
  <si>
    <t>2b</t>
  </si>
  <si>
    <t>p(B)</t>
  </si>
  <si>
    <t xml:space="preserve">p(AUB) = </t>
  </si>
  <si>
    <t xml:space="preserve">= </t>
  </si>
  <si>
    <t>2c</t>
  </si>
  <si>
    <t>2d</t>
  </si>
  <si>
    <t>p(notB)</t>
  </si>
  <si>
    <t xml:space="preserve">p(AUnotB) = </t>
  </si>
  <si>
    <t>Sp</t>
  </si>
  <si>
    <t>Ht</t>
  </si>
  <si>
    <t>Di</t>
  </si>
  <si>
    <t>Cl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</si>
</sst>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"/>
    <numFmt numFmtId="166" formatCode="m/d/yyyy"/>
    <numFmt numFmtId="167" formatCode="#,##0.0"/>
    <numFmt numFmtId="168" formatCode="#,##0.000"/>
    <numFmt numFmtId="169" formatCode="#,##0.0000"/>
    <numFmt numFmtId="170" formatCode="#,##0.00000"/>
    <numFmt numFmtId="171" formatCode="#,##0.000000"/>
    <numFmt numFmtId="172" formatCode="#,##0.0000000"/>
  </numFmts>
  <fonts count="1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Verdana"/>
      <family val="0"/>
    </font>
    <font>
      <u val="single"/>
      <sz val="10"/>
      <name val="Verdana"/>
      <family val="0"/>
    </font>
    <font>
      <sz val="11"/>
      <name val="Times"/>
      <family val="0"/>
    </font>
    <font>
      <sz val="14"/>
      <name val="Verdana"/>
      <family val="0"/>
    </font>
    <font>
      <sz val="11"/>
      <name val="Verdana"/>
      <family val="0"/>
    </font>
    <font>
      <sz val="11.25"/>
      <name val="Verdana"/>
      <family val="0"/>
    </font>
    <font>
      <sz val="2"/>
      <name val="Verdana"/>
      <family val="0"/>
    </font>
    <font>
      <sz val="10.75"/>
      <name val="Verdana"/>
      <family val="0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13">
    <xf numFmtId="4" fontId="0" fillId="0" borderId="0" xfId="0" applyAlignment="1">
      <alignment/>
    </xf>
    <xf numFmtId="4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right"/>
    </xf>
    <xf numFmtId="4" fontId="0" fillId="0" borderId="0" xfId="0" applyBorder="1" applyAlignment="1" quotePrefix="1">
      <alignment horizontal="right"/>
    </xf>
    <xf numFmtId="3" fontId="0" fillId="0" borderId="0" xfId="0" applyNumberFormat="1" applyBorder="1" applyAlignment="1">
      <alignment horizontal="right"/>
    </xf>
    <xf numFmtId="4" fontId="0" fillId="0" borderId="1" xfId="0" applyBorder="1" applyAlignment="1">
      <alignment horizontal="right"/>
    </xf>
    <xf numFmtId="168" fontId="0" fillId="0" borderId="0" xfId="0" applyNumberFormat="1" applyBorder="1" applyAlignment="1">
      <alignment horizontal="right"/>
    </xf>
    <xf numFmtId="4" fontId="0" fillId="0" borderId="2" xfId="0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168" fontId="0" fillId="0" borderId="0" xfId="0" applyNumberFormat="1" applyBorder="1" applyAlignment="1">
      <alignment horizontal="center"/>
    </xf>
    <xf numFmtId="4" fontId="0" fillId="0" borderId="2" xfId="0" applyBorder="1" applyAlignment="1">
      <alignment horizontal="left"/>
    </xf>
    <xf numFmtId="4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left"/>
    </xf>
    <xf numFmtId="4" fontId="0" fillId="0" borderId="0" xfId="0" applyFont="1" applyBorder="1" applyAlignment="1">
      <alignment horizontal="right"/>
    </xf>
    <xf numFmtId="4" fontId="0" fillId="0" borderId="0" xfId="0" applyFont="1" applyBorder="1" applyAlignment="1">
      <alignment horizontal="left"/>
    </xf>
    <xf numFmtId="4" fontId="0" fillId="0" borderId="0" xfId="0" applyFont="1" applyBorder="1" applyAlignment="1" quotePrefix="1">
      <alignment horizontal="right"/>
    </xf>
    <xf numFmtId="1" fontId="0" fillId="0" borderId="0" xfId="0" applyNumberFormat="1" applyFont="1" applyBorder="1" applyAlignment="1">
      <alignment horizontal="right"/>
    </xf>
    <xf numFmtId="4" fontId="0" fillId="0" borderId="0" xfId="0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right"/>
    </xf>
    <xf numFmtId="3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 horizontal="right"/>
    </xf>
    <xf numFmtId="168" fontId="0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4" fontId="0" fillId="0" borderId="0" xfId="0" applyFont="1" applyBorder="1" applyAlignment="1">
      <alignment horizontal="center"/>
    </xf>
    <xf numFmtId="169" fontId="0" fillId="0" borderId="0" xfId="0" applyNumberFormat="1" applyFont="1" applyBorder="1" applyAlignment="1">
      <alignment horizontal="right"/>
    </xf>
    <xf numFmtId="4" fontId="7" fillId="0" borderId="0" xfId="0" applyFont="1" applyBorder="1" applyAlignment="1">
      <alignment horizontal="right"/>
    </xf>
    <xf numFmtId="3" fontId="0" fillId="0" borderId="0" xfId="0" applyNumberFormat="1" applyBorder="1" applyAlignment="1" quotePrefix="1">
      <alignment horizontal="right"/>
    </xf>
    <xf numFmtId="4" fontId="0" fillId="0" borderId="0" xfId="0" applyBorder="1" applyAlignment="1">
      <alignment horizontal="left"/>
    </xf>
    <xf numFmtId="4" fontId="0" fillId="0" borderId="0" xfId="0" applyBorder="1" applyAlignment="1">
      <alignment/>
    </xf>
    <xf numFmtId="4" fontId="0" fillId="0" borderId="0" xfId="0" applyBorder="1" applyAlignment="1">
      <alignment/>
    </xf>
    <xf numFmtId="3" fontId="0" fillId="0" borderId="0" xfId="0" applyNumberFormat="1" applyBorder="1" applyAlignment="1">
      <alignment horizontal="left"/>
    </xf>
    <xf numFmtId="3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8" fontId="0" fillId="0" borderId="0" xfId="0" applyNumberFormat="1" applyBorder="1" applyAlignment="1">
      <alignment horizontal="left"/>
    </xf>
    <xf numFmtId="168" fontId="0" fillId="0" borderId="0" xfId="0" applyNumberFormat="1" applyBorder="1" applyAlignment="1">
      <alignment/>
    </xf>
    <xf numFmtId="4" fontId="0" fillId="0" borderId="0" xfId="0" applyFont="1" applyBorder="1" applyAlignment="1">
      <alignment/>
    </xf>
    <xf numFmtId="0" fontId="0" fillId="0" borderId="0" xfId="0" applyNumberFormat="1" applyBorder="1" applyAlignment="1">
      <alignment horizontal="left"/>
    </xf>
    <xf numFmtId="0" fontId="0" fillId="0" borderId="0" xfId="0" applyNumberFormat="1" applyBorder="1" applyAlignment="1">
      <alignment horizontal="right"/>
    </xf>
    <xf numFmtId="0" fontId="0" fillId="0" borderId="0" xfId="0" applyNumberFormat="1" applyBorder="1" applyAlignment="1">
      <alignment horizontal="center"/>
    </xf>
    <xf numFmtId="164" fontId="0" fillId="0" borderId="4" xfId="0" applyNumberFormat="1" applyBorder="1" applyAlignment="1">
      <alignment horizontal="center"/>
    </xf>
    <xf numFmtId="168" fontId="0" fillId="0" borderId="0" xfId="0" applyNumberFormat="1" applyBorder="1" applyAlignment="1" quotePrefix="1">
      <alignment horizontal="left"/>
    </xf>
    <xf numFmtId="168" fontId="0" fillId="0" borderId="5" xfId="0" applyNumberFormat="1" applyBorder="1" applyAlignment="1">
      <alignment horizontal="left"/>
    </xf>
    <xf numFmtId="4" fontId="0" fillId="0" borderId="6" xfId="0" applyBorder="1" applyAlignment="1" quotePrefix="1">
      <alignment horizontal="right"/>
    </xf>
    <xf numFmtId="168" fontId="0" fillId="0" borderId="3" xfId="0" applyNumberFormat="1" applyBorder="1" applyAlignment="1" quotePrefix="1">
      <alignment horizontal="left"/>
    </xf>
    <xf numFmtId="168" fontId="0" fillId="0" borderId="7" xfId="0" applyNumberFormat="1" applyBorder="1" applyAlignment="1" quotePrefix="1">
      <alignment horizontal="left"/>
    </xf>
    <xf numFmtId="4" fontId="0" fillId="0" borderId="8" xfId="0" applyBorder="1" applyAlignment="1">
      <alignment horizontal="center" vertical="center"/>
    </xf>
    <xf numFmtId="4" fontId="0" fillId="0" borderId="9" xfId="0" applyBorder="1" applyAlignment="1">
      <alignment horizontal="center" vertical="center"/>
    </xf>
    <xf numFmtId="4" fontId="0" fillId="0" borderId="10" xfId="0" applyBorder="1" applyAlignment="1">
      <alignment horizontal="right" vertical="center"/>
    </xf>
    <xf numFmtId="4" fontId="0" fillId="0" borderId="11" xfId="0" applyBorder="1" applyAlignment="1">
      <alignment horizontal="right" vertical="center"/>
    </xf>
    <xf numFmtId="168" fontId="0" fillId="0" borderId="12" xfId="0" applyNumberFormat="1" applyBorder="1" applyAlignment="1">
      <alignment horizontal="center" vertical="center"/>
    </xf>
    <xf numFmtId="168" fontId="0" fillId="0" borderId="8" xfId="0" applyNumberFormat="1" applyBorder="1" applyAlignment="1">
      <alignment horizontal="center" vertical="center"/>
    </xf>
    <xf numFmtId="168" fontId="0" fillId="0" borderId="13" xfId="0" applyNumberFormat="1" applyBorder="1" applyAlignment="1">
      <alignment horizontal="center" vertical="center"/>
    </xf>
    <xf numFmtId="4" fontId="0" fillId="0" borderId="14" xfId="0" applyBorder="1" applyAlignment="1">
      <alignment/>
    </xf>
    <xf numFmtId="168" fontId="0" fillId="0" borderId="0" xfId="0" applyNumberFormat="1" applyBorder="1" applyAlignment="1">
      <alignment horizontal="center" vertical="center"/>
    </xf>
    <xf numFmtId="4" fontId="0" fillId="0" borderId="15" xfId="0" applyBorder="1" applyAlignment="1">
      <alignment horizontal="right"/>
    </xf>
    <xf numFmtId="4" fontId="0" fillId="0" borderId="15" xfId="0" applyBorder="1" applyAlignment="1">
      <alignment horizontal="left"/>
    </xf>
    <xf numFmtId="4" fontId="0" fillId="0" borderId="15" xfId="0" applyBorder="1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Alignment="1">
      <alignment horizontal="left"/>
    </xf>
    <xf numFmtId="4" fontId="0" fillId="0" borderId="16" xfId="0" applyBorder="1" applyAlignment="1" quotePrefix="1">
      <alignment/>
    </xf>
    <xf numFmtId="4" fontId="0" fillId="0" borderId="16" xfId="0" applyBorder="1" applyAlignment="1">
      <alignment horizontal="center"/>
    </xf>
    <xf numFmtId="4" fontId="0" fillId="0" borderId="7" xfId="0" applyBorder="1" applyAlignment="1">
      <alignment horizontal="right"/>
    </xf>
    <xf numFmtId="4" fontId="0" fillId="0" borderId="6" xfId="0" applyBorder="1" applyAlignment="1">
      <alignment horizontal="left"/>
    </xf>
    <xf numFmtId="4" fontId="0" fillId="0" borderId="17" xfId="0" applyBorder="1" applyAlignment="1" quotePrefix="1">
      <alignment/>
    </xf>
    <xf numFmtId="4" fontId="0" fillId="0" borderId="17" xfId="0" applyBorder="1" applyAlignment="1">
      <alignment horizontal="center"/>
    </xf>
    <xf numFmtId="4" fontId="0" fillId="0" borderId="5" xfId="0" applyBorder="1" applyAlignment="1">
      <alignment horizontal="right"/>
    </xf>
    <xf numFmtId="4" fontId="0" fillId="0" borderId="1" xfId="0" applyBorder="1" applyAlignment="1">
      <alignment horizontal="left"/>
    </xf>
    <xf numFmtId="4" fontId="0" fillId="0" borderId="7" xfId="0" applyBorder="1" applyAlignment="1">
      <alignment horizontal="center"/>
    </xf>
    <xf numFmtId="4" fontId="0" fillId="0" borderId="18" xfId="0" applyBorder="1" applyAlignment="1">
      <alignment horizontal="right"/>
    </xf>
    <xf numFmtId="168" fontId="0" fillId="0" borderId="19" xfId="0" applyNumberFormat="1" applyBorder="1" applyAlignment="1">
      <alignment horizontal="center"/>
    </xf>
    <xf numFmtId="4" fontId="0" fillId="0" borderId="6" xfId="0" applyBorder="1" applyAlignment="1">
      <alignment horizontal="right"/>
    </xf>
    <xf numFmtId="168" fontId="0" fillId="0" borderId="5" xfId="0" applyNumberFormat="1" applyBorder="1" applyAlignment="1">
      <alignment horizontal="center"/>
    </xf>
    <xf numFmtId="4" fontId="0" fillId="0" borderId="20" xfId="0" applyBorder="1" applyAlignment="1">
      <alignment horizontal="center"/>
    </xf>
    <xf numFmtId="4" fontId="0" fillId="0" borderId="21" xfId="0" applyBorder="1" applyAlignment="1">
      <alignment horizontal="right"/>
    </xf>
    <xf numFmtId="4" fontId="0" fillId="0" borderId="22" xfId="0" applyBorder="1" applyAlignment="1">
      <alignment horizontal="center"/>
    </xf>
    <xf numFmtId="168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center"/>
    </xf>
    <xf numFmtId="4" fontId="0" fillId="0" borderId="19" xfId="0" applyBorder="1" applyAlignment="1">
      <alignment horizontal="center"/>
    </xf>
    <xf numFmtId="3" fontId="0" fillId="0" borderId="5" xfId="0" applyNumberFormat="1" applyBorder="1" applyAlignment="1">
      <alignment horizontal="center"/>
    </xf>
    <xf numFmtId="4" fontId="0" fillId="0" borderId="20" xfId="0" applyBorder="1" applyAlignment="1">
      <alignment horizontal="left"/>
    </xf>
    <xf numFmtId="168" fontId="7" fillId="0" borderId="18" xfId="0" applyNumberFormat="1" applyFont="1" applyBorder="1" applyAlignment="1">
      <alignment horizontal="right"/>
    </xf>
    <xf numFmtId="3" fontId="7" fillId="0" borderId="19" xfId="0" applyNumberFormat="1" applyFont="1" applyBorder="1" applyAlignment="1">
      <alignment horizontal="center"/>
    </xf>
    <xf numFmtId="164" fontId="0" fillId="0" borderId="1" xfId="0" applyNumberFormat="1" applyBorder="1" applyAlignment="1">
      <alignment horizontal="left"/>
    </xf>
    <xf numFmtId="4" fontId="0" fillId="0" borderId="16" xfId="0" applyBorder="1" applyAlignment="1">
      <alignment/>
    </xf>
    <xf numFmtId="4" fontId="0" fillId="0" borderId="17" xfId="0" applyBorder="1" applyAlignment="1">
      <alignment/>
    </xf>
    <xf numFmtId="168" fontId="0" fillId="0" borderId="17" xfId="0" applyNumberFormat="1" applyBorder="1" applyAlignment="1">
      <alignment horizontal="center"/>
    </xf>
    <xf numFmtId="4" fontId="0" fillId="0" borderId="7" xfId="0" applyBorder="1" applyAlignment="1">
      <alignment horizontal="left"/>
    </xf>
    <xf numFmtId="4" fontId="0" fillId="0" borderId="19" xfId="0" applyBorder="1" applyAlignment="1">
      <alignment horizontal="left"/>
    </xf>
    <xf numFmtId="4" fontId="0" fillId="0" borderId="5" xfId="0" applyBorder="1" applyAlignment="1">
      <alignment horizontal="center"/>
    </xf>
    <xf numFmtId="3" fontId="0" fillId="0" borderId="0" xfId="0" applyNumberFormat="1" applyFont="1" applyBorder="1" applyAlignment="1" quotePrefix="1">
      <alignment horizontal="left"/>
    </xf>
    <xf numFmtId="4" fontId="0" fillId="0" borderId="2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/>
    </xf>
    <xf numFmtId="4" fontId="0" fillId="0" borderId="1" xfId="0" applyFont="1" applyBorder="1" applyAlignment="1">
      <alignment horizontal="left"/>
    </xf>
    <xf numFmtId="164" fontId="0" fillId="0" borderId="16" xfId="0" applyNumberFormat="1" applyFont="1" applyBorder="1" applyAlignment="1">
      <alignment horizontal="right"/>
    </xf>
    <xf numFmtId="3" fontId="0" fillId="0" borderId="7" xfId="0" applyNumberFormat="1" applyFont="1" applyBorder="1" applyAlignment="1">
      <alignment horizontal="right"/>
    </xf>
    <xf numFmtId="4" fontId="0" fillId="0" borderId="6" xfId="0" applyFont="1" applyBorder="1" applyAlignment="1">
      <alignment horizontal="left"/>
    </xf>
    <xf numFmtId="164" fontId="0" fillId="0" borderId="1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right"/>
    </xf>
    <xf numFmtId="4" fontId="0" fillId="0" borderId="2" xfId="0" applyFont="1" applyBorder="1" applyAlignment="1" quotePrefix="1">
      <alignment horizontal="left"/>
    </xf>
    <xf numFmtId="168" fontId="0" fillId="0" borderId="3" xfId="0" applyNumberFormat="1" applyFont="1" applyBorder="1" applyAlignment="1">
      <alignment horizontal="left"/>
    </xf>
    <xf numFmtId="3" fontId="0" fillId="0" borderId="0" xfId="0" applyNumberFormat="1" applyFont="1" applyBorder="1" applyAlignment="1" quotePrefix="1">
      <alignment/>
    </xf>
    <xf numFmtId="3" fontId="0" fillId="0" borderId="20" xfId="0" applyNumberFormat="1" applyFont="1" applyBorder="1" applyAlignment="1" quotePrefix="1">
      <alignment horizontal="center"/>
    </xf>
    <xf numFmtId="4" fontId="0" fillId="0" borderId="0" xfId="0" applyFont="1" applyBorder="1" applyAlignment="1" quotePrefix="1">
      <alignment horizontal="center"/>
    </xf>
    <xf numFmtId="168" fontId="7" fillId="0" borderId="0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8" xfId="0" applyNumberFormat="1" applyFont="1" applyBorder="1" applyAlignment="1">
      <alignment horizontal="right"/>
    </xf>
    <xf numFmtId="4" fontId="0" fillId="0" borderId="18" xfId="0" applyFont="1" applyBorder="1" applyAlignment="1">
      <alignment horizontal="right"/>
    </xf>
    <xf numFmtId="3" fontId="0" fillId="0" borderId="6" xfId="0" applyNumberFormat="1" applyFont="1" applyBorder="1" applyAlignment="1">
      <alignment horizontal="right"/>
    </xf>
    <xf numFmtId="3" fontId="9" fillId="0" borderId="0" xfId="0" applyNumberFormat="1" applyFont="1" applyBorder="1" applyAlignment="1" quotePrefix="1">
      <alignment horizontal="right"/>
    </xf>
    <xf numFmtId="3" fontId="9" fillId="0" borderId="0" xfId="0" applyNumberFormat="1" applyFont="1" applyBorder="1" applyAlignment="1">
      <alignment horizontal="right"/>
    </xf>
    <xf numFmtId="3" fontId="7" fillId="0" borderId="1" xfId="0" applyNumberFormat="1" applyFont="1" applyBorder="1" applyAlignment="1">
      <alignment horizontal="right"/>
    </xf>
    <xf numFmtId="3" fontId="0" fillId="0" borderId="18" xfId="0" applyNumberFormat="1" applyBorder="1" applyAlignment="1" quotePrefix="1">
      <alignment horizontal="right"/>
    </xf>
    <xf numFmtId="3" fontId="0" fillId="0" borderId="18" xfId="0" applyNumberFormat="1" applyFont="1" applyBorder="1" applyAlignment="1" quotePrefix="1">
      <alignment horizontal="right"/>
    </xf>
    <xf numFmtId="3" fontId="0" fillId="0" borderId="6" xfId="0" applyNumberFormat="1" applyBorder="1" applyAlignment="1" quotePrefix="1">
      <alignment horizontal="right"/>
    </xf>
    <xf numFmtId="3" fontId="0" fillId="0" borderId="2" xfId="0" applyNumberFormat="1" applyFont="1" applyBorder="1" applyAlignment="1">
      <alignment horizontal="left"/>
    </xf>
    <xf numFmtId="3" fontId="0" fillId="0" borderId="1" xfId="0" applyNumberFormat="1" applyBorder="1" applyAlignment="1">
      <alignment horizontal="right"/>
    </xf>
    <xf numFmtId="168" fontId="0" fillId="0" borderId="4" xfId="0" applyNumberFormat="1" applyBorder="1" applyAlignment="1">
      <alignment horizontal="right"/>
    </xf>
    <xf numFmtId="4" fontId="0" fillId="0" borderId="4" xfId="0" applyBorder="1" applyAlignment="1">
      <alignment horizontal="right"/>
    </xf>
    <xf numFmtId="4" fontId="0" fillId="0" borderId="4" xfId="0" applyBorder="1" applyAlignment="1">
      <alignment horizontal="left"/>
    </xf>
    <xf numFmtId="168" fontId="0" fillId="0" borderId="3" xfId="0" applyNumberFormat="1" applyFont="1" applyBorder="1" applyAlignment="1">
      <alignment horizontal="right"/>
    </xf>
    <xf numFmtId="3" fontId="7" fillId="0" borderId="0" xfId="0" applyNumberFormat="1" applyFont="1" applyBorder="1" applyAlignment="1">
      <alignment horizontal="center"/>
    </xf>
    <xf numFmtId="3" fontId="8" fillId="0" borderId="0" xfId="0" applyNumberFormat="1" applyFont="1" applyAlignment="1">
      <alignment horizontal="center"/>
    </xf>
    <xf numFmtId="168" fontId="0" fillId="0" borderId="7" xfId="0" applyNumberFormat="1" applyFont="1" applyBorder="1" applyAlignment="1">
      <alignment horizontal="center"/>
    </xf>
    <xf numFmtId="168" fontId="0" fillId="0" borderId="19" xfId="0" applyNumberFormat="1" applyFont="1" applyBorder="1" applyAlignment="1">
      <alignment horizontal="center"/>
    </xf>
    <xf numFmtId="168" fontId="0" fillId="0" borderId="5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168" fontId="0" fillId="0" borderId="4" xfId="0" applyNumberFormat="1" applyBorder="1" applyAlignment="1">
      <alignment horizontal="center"/>
    </xf>
    <xf numFmtId="4" fontId="7" fillId="0" borderId="3" xfId="0" applyFont="1" applyBorder="1" applyAlignment="1">
      <alignment horizontal="center"/>
    </xf>
    <xf numFmtId="3" fontId="7" fillId="0" borderId="7" xfId="0" applyNumberFormat="1" applyFont="1" applyBorder="1" applyAlignment="1">
      <alignment horizontal="center"/>
    </xf>
    <xf numFmtId="168" fontId="7" fillId="0" borderId="19" xfId="0" applyNumberFormat="1" applyFont="1" applyBorder="1" applyAlignment="1">
      <alignment horizontal="center"/>
    </xf>
    <xf numFmtId="168" fontId="0" fillId="0" borderId="7" xfId="0" applyNumberFormat="1" applyBorder="1" applyAlignment="1">
      <alignment horizontal="center"/>
    </xf>
    <xf numFmtId="4" fontId="0" fillId="0" borderId="1" xfId="0" applyFont="1" applyBorder="1" applyAlignment="1">
      <alignment horizontal="right"/>
    </xf>
    <xf numFmtId="4" fontId="0" fillId="0" borderId="16" xfId="0" applyBorder="1" applyAlignment="1">
      <alignment horizontal="right"/>
    </xf>
    <xf numFmtId="4" fontId="0" fillId="0" borderId="18" xfId="0" applyFont="1" applyBorder="1" applyAlignment="1" quotePrefix="1">
      <alignment horizontal="right"/>
    </xf>
    <xf numFmtId="3" fontId="0" fillId="0" borderId="19" xfId="0" applyNumberFormat="1" applyFont="1" applyBorder="1" applyAlignment="1">
      <alignment horizontal="center"/>
    </xf>
    <xf numFmtId="4" fontId="0" fillId="0" borderId="6" xfId="0" applyFont="1" applyBorder="1" applyAlignment="1" quotePrefix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5" xfId="0" applyNumberFormat="1" applyFont="1" applyBorder="1" applyAlignment="1">
      <alignment horizontal="center"/>
    </xf>
    <xf numFmtId="4" fontId="0" fillId="0" borderId="3" xfId="0" applyBorder="1" applyAlignment="1">
      <alignment horizontal="right"/>
    </xf>
    <xf numFmtId="0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8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169" fontId="0" fillId="0" borderId="0" xfId="0" applyNumberFormat="1" applyBorder="1" applyAlignment="1">
      <alignment/>
    </xf>
    <xf numFmtId="0" fontId="0" fillId="0" borderId="0" xfId="0" applyNumberFormat="1" applyBorder="1" applyAlignment="1" quotePrefix="1">
      <alignment horizontal="right"/>
    </xf>
    <xf numFmtId="168" fontId="7" fillId="0" borderId="0" xfId="0" applyNumberFormat="1" applyFont="1" applyBorder="1" applyAlignment="1">
      <alignment horizontal="left"/>
    </xf>
    <xf numFmtId="3" fontId="0" fillId="0" borderId="20" xfId="0" applyNumberFormat="1" applyBorder="1" applyAlignment="1">
      <alignment horizontal="left"/>
    </xf>
    <xf numFmtId="168" fontId="0" fillId="0" borderId="20" xfId="0" applyNumberFormat="1" applyBorder="1" applyAlignment="1">
      <alignment horizontal="left"/>
    </xf>
    <xf numFmtId="0" fontId="0" fillId="0" borderId="20" xfId="0" applyNumberFormat="1" applyBorder="1" applyAlignment="1">
      <alignment horizontal="right"/>
    </xf>
    <xf numFmtId="0" fontId="0" fillId="0" borderId="2" xfId="0" applyNumberFormat="1" applyBorder="1" applyAlignment="1">
      <alignment horizontal="left"/>
    </xf>
    <xf numFmtId="3" fontId="0" fillId="0" borderId="4" xfId="0" applyNumberFormat="1" applyBorder="1" applyAlignment="1">
      <alignment horizontal="left"/>
    </xf>
    <xf numFmtId="3" fontId="0" fillId="0" borderId="4" xfId="0" applyNumberFormat="1" applyBorder="1" applyAlignment="1">
      <alignment/>
    </xf>
    <xf numFmtId="169" fontId="0" fillId="0" borderId="3" xfId="0" applyNumberFormat="1" applyBorder="1" applyAlignment="1">
      <alignment/>
    </xf>
    <xf numFmtId="168" fontId="0" fillId="0" borderId="20" xfId="0" applyNumberFormat="1" applyBorder="1" applyAlignment="1">
      <alignment horizontal="right"/>
    </xf>
    <xf numFmtId="169" fontId="0" fillId="0" borderId="0" xfId="0" applyNumberFormat="1" applyBorder="1" applyAlignment="1">
      <alignment horizontal="left"/>
    </xf>
    <xf numFmtId="4" fontId="0" fillId="0" borderId="0" xfId="0" applyBorder="1" applyAlignment="1" quotePrefix="1">
      <alignment horizontal="left"/>
    </xf>
    <xf numFmtId="3" fontId="0" fillId="0" borderId="15" xfId="0" applyNumberFormat="1" applyBorder="1" applyAlignment="1">
      <alignment horizontal="right"/>
    </xf>
    <xf numFmtId="168" fontId="0" fillId="0" borderId="15" xfId="0" applyNumberFormat="1" applyBorder="1" applyAlignment="1">
      <alignment horizontal="right"/>
    </xf>
    <xf numFmtId="167" fontId="0" fillId="0" borderId="0" xfId="0" applyNumberFormat="1" applyBorder="1" applyAlignment="1">
      <alignment horizontal="right"/>
    </xf>
    <xf numFmtId="164" fontId="0" fillId="0" borderId="0" xfId="0" applyNumberFormat="1" applyBorder="1" applyAlignment="1" quotePrefix="1">
      <alignment horizontal="left"/>
    </xf>
    <xf numFmtId="4" fontId="10" fillId="0" borderId="0" xfId="0" applyFont="1" applyBorder="1" applyAlignment="1">
      <alignment horizontal="left"/>
    </xf>
    <xf numFmtId="168" fontId="0" fillId="0" borderId="19" xfId="0" applyNumberFormat="1" applyBorder="1" applyAlignment="1">
      <alignment horizontal="right"/>
    </xf>
    <xf numFmtId="168" fontId="0" fillId="0" borderId="6" xfId="0" applyNumberFormat="1" applyBorder="1" applyAlignment="1">
      <alignment horizontal="right"/>
    </xf>
    <xf numFmtId="168" fontId="0" fillId="0" borderId="5" xfId="0" applyNumberFormat="1" applyBorder="1" applyAlignment="1">
      <alignment horizontal="right"/>
    </xf>
    <xf numFmtId="4" fontId="0" fillId="0" borderId="22" xfId="0" applyBorder="1" applyAlignment="1">
      <alignment horizontal="right"/>
    </xf>
    <xf numFmtId="168" fontId="0" fillId="0" borderId="7" xfId="0" applyNumberFormat="1" applyBorder="1" applyAlignment="1">
      <alignment horizontal="left"/>
    </xf>
    <xf numFmtId="168" fontId="0" fillId="0" borderId="19" xfId="0" applyNumberFormat="1" applyBorder="1" applyAlignment="1">
      <alignment horizontal="left"/>
    </xf>
    <xf numFmtId="3" fontId="0" fillId="0" borderId="1" xfId="0" applyNumberFormat="1" applyBorder="1" applyAlignment="1">
      <alignment horizontal="left"/>
    </xf>
    <xf numFmtId="164" fontId="0" fillId="0" borderId="6" xfId="0" applyNumberFormat="1" applyBorder="1" applyAlignment="1">
      <alignment horizontal="left"/>
    </xf>
    <xf numFmtId="3" fontId="0" fillId="0" borderId="0" xfId="0" applyNumberFormat="1" applyBorder="1" applyAlignment="1" quotePrefix="1">
      <alignment horizontal="left"/>
    </xf>
    <xf numFmtId="168" fontId="0" fillId="0" borderId="12" xfId="0" applyNumberFormat="1" applyBorder="1" applyAlignment="1">
      <alignment horizontal="right"/>
    </xf>
    <xf numFmtId="168" fontId="0" fillId="0" borderId="12" xfId="0" applyNumberFormat="1" applyFont="1" applyBorder="1" applyAlignment="1">
      <alignment horizontal="right"/>
    </xf>
    <xf numFmtId="4" fontId="8" fillId="0" borderId="0" xfId="0" applyFont="1" applyAlignment="1">
      <alignment/>
    </xf>
    <xf numFmtId="168" fontId="8" fillId="0" borderId="0" xfId="0" applyNumberFormat="1" applyFont="1" applyAlignment="1">
      <alignment/>
    </xf>
    <xf numFmtId="3" fontId="8" fillId="0" borderId="0" xfId="0" applyNumberFormat="1" applyFont="1" applyAlignment="1">
      <alignment/>
    </xf>
    <xf numFmtId="167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left"/>
    </xf>
    <xf numFmtId="4" fontId="0" fillId="0" borderId="0" xfId="0" applyNumberFormat="1" applyBorder="1" applyAlignment="1">
      <alignment horizontal="left"/>
    </xf>
    <xf numFmtId="168" fontId="0" fillId="0" borderId="20" xfId="0" applyNumberFormat="1" applyBorder="1" applyAlignment="1" quotePrefix="1">
      <alignment horizontal="left"/>
    </xf>
    <xf numFmtId="3" fontId="0" fillId="0" borderId="2" xfId="0" applyNumberFormat="1" applyBorder="1" applyAlignment="1">
      <alignment horizontal="left"/>
    </xf>
    <xf numFmtId="9" fontId="0" fillId="0" borderId="4" xfId="21" applyFont="1" applyBorder="1" applyAlignment="1">
      <alignment horizontal="center"/>
    </xf>
    <xf numFmtId="3" fontId="0" fillId="0" borderId="3" xfId="0" applyNumberFormat="1" applyBorder="1" applyAlignment="1">
      <alignment horizontal="center"/>
    </xf>
    <xf numFmtId="3" fontId="0" fillId="0" borderId="23" xfId="0" applyNumberFormat="1" applyBorder="1" applyAlignment="1">
      <alignment horizontal="left"/>
    </xf>
    <xf numFmtId="3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3" fontId="0" fillId="0" borderId="26" xfId="0" applyNumberFormat="1" applyBorder="1" applyAlignment="1">
      <alignment horizontal="right"/>
    </xf>
    <xf numFmtId="168" fontId="0" fillId="0" borderId="27" xfId="0" applyNumberFormat="1" applyBorder="1" applyAlignment="1">
      <alignment horizontal="right"/>
    </xf>
    <xf numFmtId="3" fontId="0" fillId="0" borderId="28" xfId="0" applyNumberFormat="1" applyBorder="1" applyAlignment="1">
      <alignment horizontal="left"/>
    </xf>
    <xf numFmtId="168" fontId="0" fillId="0" borderId="29" xfId="0" applyNumberFormat="1" applyBorder="1" applyAlignment="1">
      <alignment horizontal="right"/>
    </xf>
    <xf numFmtId="168" fontId="0" fillId="0" borderId="30" xfId="0" applyNumberFormat="1" applyBorder="1" applyAlignment="1">
      <alignment horizontal="right"/>
    </xf>
    <xf numFmtId="3" fontId="0" fillId="0" borderId="16" xfId="0" applyNumberFormat="1" applyBorder="1" applyAlignment="1">
      <alignment horizontal="right"/>
    </xf>
    <xf numFmtId="3" fontId="0" fillId="0" borderId="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164" fontId="0" fillId="0" borderId="19" xfId="0" applyNumberFormat="1" applyBorder="1" applyAlignment="1">
      <alignment horizontal="right"/>
    </xf>
    <xf numFmtId="3" fontId="0" fillId="0" borderId="18" xfId="0" applyNumberFormat="1" applyBorder="1" applyAlignment="1">
      <alignment horizontal="left"/>
    </xf>
    <xf numFmtId="3" fontId="0" fillId="0" borderId="6" xfId="0" applyNumberFormat="1" applyBorder="1" applyAlignment="1">
      <alignment horizontal="left"/>
    </xf>
    <xf numFmtId="3" fontId="0" fillId="0" borderId="17" xfId="0" applyNumberFormat="1" applyBorder="1" applyAlignment="1">
      <alignment horizontal="right"/>
    </xf>
    <xf numFmtId="3" fontId="0" fillId="0" borderId="5" xfId="0" applyNumberFormat="1" applyBorder="1" applyAlignment="1">
      <alignment horizontal="right"/>
    </xf>
    <xf numFmtId="164" fontId="0" fillId="0" borderId="17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6" xfId="0" applyNumberFormat="1" applyBorder="1" applyAlignment="1">
      <alignment horizontal="right"/>
    </xf>
    <xf numFmtId="3" fontId="0" fillId="0" borderId="1" xfId="0" applyNumberFormat="1" applyBorder="1" applyAlignment="1" quotePrefix="1">
      <alignment horizontal="left"/>
    </xf>
    <xf numFmtId="3" fontId="0" fillId="0" borderId="17" xfId="0" applyNumberFormat="1" applyBorder="1" applyAlignment="1">
      <alignment horizontal="left"/>
    </xf>
    <xf numFmtId="168" fontId="0" fillId="0" borderId="20" xfId="0" applyNumberFormat="1" applyBorder="1" applyAlignment="1">
      <alignment horizontal="center"/>
    </xf>
    <xf numFmtId="3" fontId="0" fillId="0" borderId="7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2" xfId="0" applyNumberFormat="1" applyBorder="1" applyAlignment="1">
      <alignment horizontal="right"/>
    </xf>
    <xf numFmtId="168" fontId="0" fillId="0" borderId="3" xfId="0" applyNumberFormat="1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'Final Exam'!$B$45:$B$50</c:f>
              <c:numCache/>
            </c:numRef>
          </c:xVal>
          <c:yVal>
            <c:numRef>
              <c:f>'Final Exam'!$C$45:$C$50</c:f>
              <c:numCache/>
            </c:numRef>
          </c:yVal>
          <c:smooth val="0"/>
        </c:ser>
        <c:axId val="2520397"/>
        <c:axId val="22683574"/>
      </c:scatterChart>
      <c:valAx>
        <c:axId val="2520397"/>
        <c:scaling>
          <c:orientation val="minMax"/>
          <c:max val="0.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Verdana"/>
                <a:ea typeface="Verdana"/>
                <a:cs typeface="Verdana"/>
              </a:defRPr>
            </a:pPr>
          </a:p>
        </c:txPr>
        <c:crossAx val="22683574"/>
        <c:crosses val="autoZero"/>
        <c:crossBetween val="midCat"/>
        <c:dispUnits/>
        <c:majorUnit val="0.05"/>
        <c:minorUnit val="0.01"/>
      </c:valAx>
      <c:valAx>
        <c:axId val="22683574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25" b="0" i="0" u="none" baseline="0">
                <a:latin typeface="Verdana"/>
                <a:ea typeface="Verdana"/>
                <a:cs typeface="Verdana"/>
              </a:defRPr>
            </a:pPr>
          </a:p>
        </c:txPr>
        <c:crossAx val="2520397"/>
        <c:crosses val="autoZero"/>
        <c:crossBetween val="midCat"/>
        <c:dispUnits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Verdana"/>
          <a:ea typeface="Verdana"/>
          <a:cs typeface="Verdan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'Final Exam'!$B$31:$B$36</c:f>
              <c:numCache/>
            </c:numRef>
          </c:xVal>
          <c:yVal>
            <c:numRef>
              <c:f>'Final Exam'!$C$31:$C$36</c:f>
              <c:numCache/>
            </c:numRef>
          </c:yVal>
          <c:smooth val="0"/>
        </c:ser>
        <c:axId val="2825575"/>
        <c:axId val="25430176"/>
      </c:scatterChart>
      <c:valAx>
        <c:axId val="2825575"/>
        <c:scaling>
          <c:orientation val="minMax"/>
          <c:max val="15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Verdana"/>
                <a:ea typeface="Verdana"/>
                <a:cs typeface="Verdana"/>
              </a:defRPr>
            </a:pPr>
          </a:p>
        </c:txPr>
        <c:crossAx val="25430176"/>
        <c:crosses val="autoZero"/>
        <c:crossBetween val="midCat"/>
        <c:dispUnits/>
      </c:valAx>
      <c:valAx>
        <c:axId val="2543017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Verdana"/>
                <a:ea typeface="Verdana"/>
                <a:cs typeface="Verdana"/>
              </a:defRPr>
            </a:pPr>
          </a:p>
        </c:txPr>
        <c:crossAx val="2825575"/>
        <c:crosses val="autoZero"/>
        <c:crossBetween val="midCat"/>
        <c:dispUnits/>
        <c:majorUnit val="0.1"/>
      </c:valAx>
      <c:spPr>
        <a:solidFill>
          <a:srgbClr val="CDCDCD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123825</xdr:colOff>
      <xdr:row>66</xdr:row>
      <xdr:rowOff>47625</xdr:rowOff>
    </xdr:from>
    <xdr:to>
      <xdr:col>2</xdr:col>
      <xdr:colOff>342900</xdr:colOff>
      <xdr:row>80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2258675"/>
          <a:ext cx="2143125" cy="2352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43</xdr:row>
      <xdr:rowOff>0</xdr:rowOff>
    </xdr:from>
    <xdr:to>
      <xdr:col>7</xdr:col>
      <xdr:colOff>723900</xdr:colOff>
      <xdr:row>51</xdr:row>
      <xdr:rowOff>38100</xdr:rowOff>
    </xdr:to>
    <xdr:graphicFrame>
      <xdr:nvGraphicFramePr>
        <xdr:cNvPr id="1" name="Chart 1"/>
        <xdr:cNvGraphicFramePr/>
      </xdr:nvGraphicFramePr>
      <xdr:xfrm>
        <a:off x="3743325" y="7162800"/>
        <a:ext cx="3333750" cy="1333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657225</xdr:colOff>
      <xdr:row>29</xdr:row>
      <xdr:rowOff>38100</xdr:rowOff>
    </xdr:from>
    <xdr:to>
      <xdr:col>7</xdr:col>
      <xdr:colOff>476250</xdr:colOff>
      <xdr:row>37</xdr:row>
      <xdr:rowOff>57150</xdr:rowOff>
    </xdr:to>
    <xdr:graphicFrame>
      <xdr:nvGraphicFramePr>
        <xdr:cNvPr id="2" name="Chart 2"/>
        <xdr:cNvGraphicFramePr/>
      </xdr:nvGraphicFramePr>
      <xdr:xfrm>
        <a:off x="3733800" y="4895850"/>
        <a:ext cx="3095625" cy="1314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3"/>
  <sheetViews>
    <sheetView zoomScale="200" zoomScaleNormal="200" workbookViewId="0" topLeftCell="A45">
      <selection activeCell="D76" sqref="D76"/>
    </sheetView>
  </sheetViews>
  <sheetFormatPr defaultColWidth="11.00390625" defaultRowHeight="12.75"/>
  <cols>
    <col min="1" max="1" width="5.00390625" style="4" customWidth="1"/>
    <col min="2" max="2" width="25.25390625" style="1" customWidth="1"/>
    <col min="3" max="3" width="21.75390625" style="12" customWidth="1"/>
    <col min="4" max="4" width="13.875" style="12" customWidth="1"/>
    <col min="5" max="5" width="13.875" style="1" customWidth="1"/>
    <col min="6" max="6" width="13.875" style="12" customWidth="1"/>
    <col min="7" max="7" width="13.875" style="31" customWidth="1"/>
    <col min="8" max="16384" width="10.75390625" style="31" customWidth="1"/>
  </cols>
  <sheetData>
    <row r="1" spans="1:6" ht="13.5" thickBot="1">
      <c r="A1" s="4" t="s">
        <v>201</v>
      </c>
      <c r="B1" s="82" t="s">
        <v>210</v>
      </c>
      <c r="D1" s="35"/>
      <c r="E1" s="2"/>
      <c r="F1" s="35"/>
    </row>
    <row r="2" spans="1:6" ht="12.75">
      <c r="A2" s="29"/>
      <c r="B2" s="30"/>
      <c r="D2" s="35"/>
      <c r="E2" s="2"/>
      <c r="F2" s="35"/>
    </row>
    <row r="3" spans="1:6" ht="12.75">
      <c r="A3" s="60" t="s">
        <v>209</v>
      </c>
      <c r="B3" s="61" t="s">
        <v>200</v>
      </c>
      <c r="D3" s="35"/>
      <c r="E3" s="2"/>
      <c r="F3" s="35"/>
    </row>
    <row r="4" spans="1:6" ht="12.75">
      <c r="A4" s="4" t="s">
        <v>203</v>
      </c>
      <c r="B4" s="30" t="s">
        <v>119</v>
      </c>
      <c r="C4" s="10"/>
      <c r="F4" s="10"/>
    </row>
    <row r="5" spans="2:6" ht="12.75">
      <c r="B5" s="30" t="s">
        <v>120</v>
      </c>
      <c r="C5" s="10"/>
      <c r="F5" s="10"/>
    </row>
    <row r="6" spans="2:6" ht="12.75">
      <c r="B6" s="30"/>
      <c r="C6" s="10"/>
      <c r="F6" s="10"/>
    </row>
    <row r="7" spans="1:6" ht="12.75">
      <c r="A7" s="4" t="s">
        <v>117</v>
      </c>
      <c r="B7" s="30" t="s">
        <v>62</v>
      </c>
      <c r="C7" s="10"/>
      <c r="F7" s="10"/>
    </row>
    <row r="8" spans="2:6" ht="12.75">
      <c r="B8" s="30" t="s">
        <v>63</v>
      </c>
      <c r="C8" s="10"/>
      <c r="F8" s="10"/>
    </row>
    <row r="9" spans="2:6" ht="12.75">
      <c r="B9" s="30"/>
      <c r="C9" s="10"/>
      <c r="F9" s="10"/>
    </row>
    <row r="10" spans="1:6" ht="12.75">
      <c r="A10" s="4" t="s">
        <v>118</v>
      </c>
      <c r="B10" s="30" t="s">
        <v>211</v>
      </c>
      <c r="C10" s="10"/>
      <c r="F10" s="10"/>
    </row>
    <row r="11" spans="2:6" ht="12.75">
      <c r="B11" s="30" t="s">
        <v>212</v>
      </c>
      <c r="C11" s="10"/>
      <c r="F11" s="10"/>
    </row>
    <row r="12" spans="2:6" ht="12.75">
      <c r="B12" s="30"/>
      <c r="C12" s="10"/>
      <c r="F12" s="10"/>
    </row>
    <row r="13" spans="1:6" ht="12.75">
      <c r="A13" s="4" t="s">
        <v>213</v>
      </c>
      <c r="B13" s="30" t="s">
        <v>121</v>
      </c>
      <c r="C13" s="10"/>
      <c r="F13" s="10"/>
    </row>
    <row r="14" spans="2:6" ht="12.75">
      <c r="B14" s="30" t="s">
        <v>204</v>
      </c>
      <c r="C14" s="10"/>
      <c r="F14" s="10"/>
    </row>
    <row r="15" spans="2:6" ht="12.75">
      <c r="B15" s="30"/>
      <c r="C15" s="10"/>
      <c r="F15" s="10"/>
    </row>
    <row r="16" spans="1:3" ht="13.5" thickBot="1">
      <c r="A16" s="29"/>
      <c r="C16" s="35"/>
    </row>
    <row r="17" spans="1:7" ht="12.75">
      <c r="A17" s="4" t="s">
        <v>158</v>
      </c>
      <c r="B17" s="85" t="s">
        <v>240</v>
      </c>
      <c r="C17" s="86" t="s">
        <v>61</v>
      </c>
      <c r="D17" s="63"/>
      <c r="E17" s="63"/>
      <c r="F17" s="70"/>
      <c r="G17" s="12"/>
    </row>
    <row r="18" spans="2:7" ht="12.75">
      <c r="B18" s="71"/>
      <c r="C18" s="32" t="s">
        <v>241</v>
      </c>
      <c r="D18" s="10"/>
      <c r="E18" s="10"/>
      <c r="F18" s="72"/>
      <c r="G18" s="10"/>
    </row>
    <row r="19" spans="2:7" ht="13.5" thickBot="1">
      <c r="B19" s="73"/>
      <c r="C19" s="87" t="s">
        <v>114</v>
      </c>
      <c r="D19" s="88"/>
      <c r="E19" s="88"/>
      <c r="F19" s="74"/>
      <c r="G19" s="10"/>
    </row>
    <row r="20" spans="4:7" ht="13.5" thickBot="1">
      <c r="D20" s="10"/>
      <c r="E20" s="10"/>
      <c r="F20" s="10"/>
      <c r="G20" s="10"/>
    </row>
    <row r="21" spans="1:6" ht="13.5" thickBot="1">
      <c r="A21" s="4" t="s">
        <v>243</v>
      </c>
      <c r="C21" s="11" t="s">
        <v>242</v>
      </c>
      <c r="D21" s="42"/>
      <c r="E21" s="9"/>
      <c r="F21" s="35"/>
    </row>
    <row r="22" spans="2:3" ht="12.75">
      <c r="B22" s="2"/>
      <c r="C22" s="35"/>
    </row>
    <row r="23" spans="1:2" ht="12.75">
      <c r="A23" s="4" t="s">
        <v>115</v>
      </c>
      <c r="B23" s="30" t="s">
        <v>122</v>
      </c>
    </row>
    <row r="24" spans="2:3" ht="12.75">
      <c r="B24" s="1" t="s">
        <v>123</v>
      </c>
      <c r="C24" s="36" t="s">
        <v>124</v>
      </c>
    </row>
    <row r="25" spans="2:3" ht="12.75">
      <c r="B25" s="1" t="s">
        <v>125</v>
      </c>
      <c r="C25" s="36" t="s">
        <v>126</v>
      </c>
    </row>
    <row r="26" spans="2:3" ht="12.75">
      <c r="B26" s="1" t="s">
        <v>202</v>
      </c>
      <c r="C26" s="36" t="s">
        <v>237</v>
      </c>
    </row>
    <row r="27" spans="2:3" ht="12.75">
      <c r="B27" s="1" t="s">
        <v>238</v>
      </c>
      <c r="C27" s="36" t="s">
        <v>239</v>
      </c>
    </row>
    <row r="28" spans="2:3" ht="12.75">
      <c r="B28" s="30"/>
      <c r="C28" s="35"/>
    </row>
    <row r="29" spans="1:4" ht="12.75">
      <c r="A29" s="4" t="s">
        <v>247</v>
      </c>
      <c r="B29" s="1" t="s">
        <v>208</v>
      </c>
      <c r="C29" s="43">
        <f>1/6</f>
        <v>0.16666666666666666</v>
      </c>
      <c r="D29" s="10"/>
    </row>
    <row r="30" spans="2:4" ht="12.75">
      <c r="B30" s="1" t="s">
        <v>244</v>
      </c>
      <c r="C30" s="36">
        <f>16/52</f>
        <v>0.3076923076923077</v>
      </c>
      <c r="D30" s="10"/>
    </row>
    <row r="31" spans="2:3" ht="13.5" thickBot="1">
      <c r="B31" s="1" t="s">
        <v>154</v>
      </c>
      <c r="C31" s="36">
        <f>C29*C30</f>
        <v>0.05128205128205128</v>
      </c>
    </row>
    <row r="32" spans="2:4" ht="12.75">
      <c r="B32" s="5" t="s">
        <v>245</v>
      </c>
      <c r="C32" s="47" t="s">
        <v>155</v>
      </c>
      <c r="D32" s="10"/>
    </row>
    <row r="33" spans="1:4" ht="13.5" thickBot="1">
      <c r="A33" s="29"/>
      <c r="B33" s="45" t="s">
        <v>246</v>
      </c>
      <c r="C33" s="44">
        <f>C29+C30-C31</f>
        <v>0.4230769230769231</v>
      </c>
      <c r="D33" s="10"/>
    </row>
    <row r="34" spans="2:3" ht="13.5" thickBot="1">
      <c r="B34" s="30"/>
      <c r="C34" s="30"/>
    </row>
    <row r="35" spans="1:3" ht="13.5" thickBot="1">
      <c r="A35" s="4" t="s">
        <v>248</v>
      </c>
      <c r="B35" s="7" t="s">
        <v>154</v>
      </c>
      <c r="C35" s="46">
        <f>C31</f>
        <v>0.05128205128205128</v>
      </c>
    </row>
    <row r="36" spans="2:3" ht="12.75">
      <c r="B36" s="3"/>
      <c r="C36" s="36"/>
    </row>
    <row r="37" spans="1:3" ht="12.75">
      <c r="A37" s="4" t="s">
        <v>116</v>
      </c>
      <c r="B37" s="1" t="s">
        <v>208</v>
      </c>
      <c r="C37" s="43">
        <f>1/6</f>
        <v>0.16666666666666666</v>
      </c>
    </row>
    <row r="38" spans="1:3" ht="12.75">
      <c r="A38" s="29"/>
      <c r="B38" s="1" t="s">
        <v>249</v>
      </c>
      <c r="C38" s="36">
        <f>1-16/52</f>
        <v>0.6923076923076923</v>
      </c>
    </row>
    <row r="39" spans="2:3" ht="13.5" thickBot="1">
      <c r="B39" s="1" t="s">
        <v>156</v>
      </c>
      <c r="C39" s="36">
        <f>C37*C38</f>
        <v>0.11538461538461538</v>
      </c>
    </row>
    <row r="40" spans="2:3" ht="12.75">
      <c r="B40" s="5" t="s">
        <v>250</v>
      </c>
      <c r="C40" s="47" t="s">
        <v>157</v>
      </c>
    </row>
    <row r="41" spans="2:3" ht="13.5" thickBot="1">
      <c r="B41" s="45" t="s">
        <v>246</v>
      </c>
      <c r="C41" s="44">
        <f>C37+C38-C39</f>
        <v>0.7435897435897435</v>
      </c>
    </row>
    <row r="42" ht="12.75">
      <c r="B42" s="30"/>
    </row>
    <row r="43" ht="12.75">
      <c r="B43" s="30"/>
    </row>
    <row r="44" ht="12.75">
      <c r="B44" s="30"/>
    </row>
    <row r="45" spans="1:7" ht="12.75">
      <c r="A45" s="4">
        <v>3</v>
      </c>
      <c r="C45" s="48" t="s">
        <v>251</v>
      </c>
      <c r="D45" s="49" t="s">
        <v>252</v>
      </c>
      <c r="E45" s="49" t="s">
        <v>253</v>
      </c>
      <c r="F45" s="49" t="s">
        <v>254</v>
      </c>
      <c r="G45" s="55"/>
    </row>
    <row r="46" spans="1:8" ht="54.75" customHeight="1">
      <c r="A46" s="4" t="s">
        <v>159</v>
      </c>
      <c r="B46" s="50" t="s">
        <v>207</v>
      </c>
      <c r="C46" s="52">
        <f>0.4*G46</f>
        <v>0.2</v>
      </c>
      <c r="D46" s="52">
        <f>($G$46-$C$46)/3</f>
        <v>0.09999999999999999</v>
      </c>
      <c r="E46" s="52">
        <f>($G$46-$C$46)/3</f>
        <v>0.09999999999999999</v>
      </c>
      <c r="F46" s="52">
        <f>($G$46-$C$46)/3</f>
        <v>0.09999999999999999</v>
      </c>
      <c r="G46" s="54">
        <v>0.5</v>
      </c>
      <c r="H46" s="37"/>
    </row>
    <row r="47" spans="2:7" ht="54.75" customHeight="1">
      <c r="B47" s="51" t="s">
        <v>205</v>
      </c>
      <c r="C47" s="52">
        <f>($G$47-$D$47)/3</f>
        <v>0.05000000000000001</v>
      </c>
      <c r="D47" s="52">
        <f>0.7*G47</f>
        <v>0.35</v>
      </c>
      <c r="E47" s="52">
        <f>($G$47-$D$47)/3</f>
        <v>0.05000000000000001</v>
      </c>
      <c r="F47" s="52">
        <f>($G$47-$D$47)/3</f>
        <v>0.05000000000000001</v>
      </c>
      <c r="G47" s="54">
        <f>1-G46</f>
        <v>0.5</v>
      </c>
    </row>
    <row r="48" spans="3:7" ht="36" customHeight="1">
      <c r="C48" s="53">
        <f>C46+C47</f>
        <v>0.25</v>
      </c>
      <c r="D48" s="53">
        <f>D46+D47</f>
        <v>0.44999999999999996</v>
      </c>
      <c r="E48" s="53">
        <f>E46+E47</f>
        <v>0.15</v>
      </c>
      <c r="F48" s="53">
        <f>F46+F47</f>
        <v>0.15</v>
      </c>
      <c r="G48" s="56">
        <f>G46+G47</f>
        <v>1</v>
      </c>
    </row>
    <row r="49" spans="3:7" ht="12" customHeight="1" thickBot="1">
      <c r="C49" s="56"/>
      <c r="D49" s="56"/>
      <c r="E49" s="56"/>
      <c r="F49" s="56"/>
      <c r="G49" s="56"/>
    </row>
    <row r="50" spans="1:3" ht="12.75">
      <c r="A50" s="4" t="s">
        <v>87</v>
      </c>
      <c r="B50" s="69" t="s">
        <v>84</v>
      </c>
      <c r="C50" s="70"/>
    </row>
    <row r="51" spans="2:3" ht="12.75">
      <c r="B51" s="71" t="s">
        <v>85</v>
      </c>
      <c r="C51" s="72">
        <f>C46/G46</f>
        <v>0.4</v>
      </c>
    </row>
    <row r="52" spans="2:3" ht="13.5" thickBot="1">
      <c r="B52" s="73" t="s">
        <v>86</v>
      </c>
      <c r="C52" s="74">
        <f>C47/G47</f>
        <v>0.10000000000000002</v>
      </c>
    </row>
    <row r="53" ht="13.5" thickBot="1">
      <c r="B53" s="30"/>
    </row>
    <row r="54" spans="1:5" ht="12.75">
      <c r="A54" s="4" t="s">
        <v>88</v>
      </c>
      <c r="B54" s="5" t="s">
        <v>89</v>
      </c>
      <c r="C54" s="62" t="s">
        <v>217</v>
      </c>
      <c r="D54" s="63"/>
      <c r="E54" s="64"/>
    </row>
    <row r="55" spans="2:5" ht="13.5" thickBot="1">
      <c r="B55" s="65"/>
      <c r="C55" s="66" t="s">
        <v>214</v>
      </c>
      <c r="D55" s="67"/>
      <c r="E55" s="68"/>
    </row>
    <row r="56" ht="13.5" thickBot="1">
      <c r="B56" s="30"/>
    </row>
    <row r="57" spans="1:2" ht="13.5" thickBot="1">
      <c r="A57" s="4" t="s">
        <v>90</v>
      </c>
      <c r="B57" s="75" t="s">
        <v>91</v>
      </c>
    </row>
    <row r="58" ht="13.5" thickBot="1"/>
    <row r="59" spans="1:6" ht="12.75">
      <c r="A59" s="4" t="s">
        <v>148</v>
      </c>
      <c r="B59" s="57" t="s">
        <v>160</v>
      </c>
      <c r="C59" s="58" t="s">
        <v>151</v>
      </c>
      <c r="D59" s="59"/>
      <c r="E59" s="76" t="s">
        <v>161</v>
      </c>
      <c r="F59" s="77" t="s">
        <v>206</v>
      </c>
    </row>
    <row r="60" spans="2:6" ht="12.75">
      <c r="B60" s="1">
        <v>1</v>
      </c>
      <c r="C60" s="30" t="s">
        <v>92</v>
      </c>
      <c r="E60" s="78">
        <f>0.5^3</f>
        <v>0.125</v>
      </c>
      <c r="F60" s="79">
        <f>E60*96</f>
        <v>12</v>
      </c>
    </row>
    <row r="61" spans="2:6" ht="12.75">
      <c r="B61" s="1">
        <v>2</v>
      </c>
      <c r="C61" s="30" t="s">
        <v>147</v>
      </c>
      <c r="E61" s="78">
        <f>0.5*0.5+0.5*0.25</f>
        <v>0.375</v>
      </c>
      <c r="F61" s="79">
        <f>E61*96</f>
        <v>36</v>
      </c>
    </row>
    <row r="62" spans="2:6" ht="12.75">
      <c r="B62" s="1">
        <v>3</v>
      </c>
      <c r="C62" s="30" t="s">
        <v>145</v>
      </c>
      <c r="E62" s="78">
        <f>0.5*0.5+0.5^3</f>
        <v>0.375</v>
      </c>
      <c r="F62" s="79">
        <f>E62*96</f>
        <v>36</v>
      </c>
    </row>
    <row r="63" spans="2:6" ht="12.75">
      <c r="B63" s="1">
        <v>4</v>
      </c>
      <c r="C63" s="30" t="s">
        <v>146</v>
      </c>
      <c r="E63" s="83">
        <f>0.125</f>
        <v>0.125</v>
      </c>
      <c r="F63" s="84">
        <f>E63*96</f>
        <v>12</v>
      </c>
    </row>
    <row r="64" spans="3:6" ht="12.75">
      <c r="C64" s="30"/>
      <c r="E64" s="71"/>
      <c r="F64" s="80"/>
    </row>
    <row r="65" spans="3:6" ht="13.5" thickBot="1">
      <c r="C65" s="30"/>
      <c r="E65" s="73">
        <f>SUM(E60:E63)</f>
        <v>1</v>
      </c>
      <c r="F65" s="81">
        <f>SUM(F60:F63)</f>
        <v>96</v>
      </c>
    </row>
    <row r="66" spans="1:3" ht="12.75">
      <c r="A66" s="4" t="s">
        <v>149</v>
      </c>
      <c r="B66" s="69" t="s">
        <v>153</v>
      </c>
      <c r="C66" s="89"/>
    </row>
    <row r="67" spans="2:3" ht="12.75">
      <c r="B67" s="71"/>
      <c r="C67" s="90"/>
    </row>
    <row r="68" spans="2:3" ht="12.75">
      <c r="B68" s="71"/>
      <c r="C68" s="80"/>
    </row>
    <row r="69" spans="2:3" ht="12.75">
      <c r="B69" s="71"/>
      <c r="C69" s="80"/>
    </row>
    <row r="70" spans="2:3" ht="12.75">
      <c r="B70" s="71"/>
      <c r="C70" s="80"/>
    </row>
    <row r="71" spans="2:3" ht="12.75">
      <c r="B71" s="71"/>
      <c r="C71" s="80"/>
    </row>
    <row r="72" spans="2:3" ht="12.75">
      <c r="B72" s="71"/>
      <c r="C72" s="80"/>
    </row>
    <row r="73" spans="2:3" ht="12.75">
      <c r="B73" s="71"/>
      <c r="C73" s="80"/>
    </row>
    <row r="74" spans="2:3" ht="12.75">
      <c r="B74" s="71"/>
      <c r="C74" s="80"/>
    </row>
    <row r="75" spans="2:3" ht="12.75">
      <c r="B75" s="71"/>
      <c r="C75" s="80"/>
    </row>
    <row r="76" spans="2:3" ht="12.75">
      <c r="B76" s="71"/>
      <c r="C76" s="80"/>
    </row>
    <row r="77" spans="2:3" ht="12.75">
      <c r="B77" s="71"/>
      <c r="C77" s="80"/>
    </row>
    <row r="78" spans="2:3" ht="12.75">
      <c r="B78" s="71"/>
      <c r="C78" s="80"/>
    </row>
    <row r="79" spans="2:3" ht="12.75">
      <c r="B79" s="71"/>
      <c r="C79" s="80"/>
    </row>
    <row r="80" spans="2:3" ht="12.75">
      <c r="B80" s="71"/>
      <c r="C80" s="80"/>
    </row>
    <row r="81" spans="2:3" ht="13.5" thickBot="1">
      <c r="B81" s="73"/>
      <c r="C81" s="91"/>
    </row>
    <row r="82" ht="13.5" thickBot="1"/>
    <row r="83" spans="1:2" ht="13.5" thickBot="1">
      <c r="A83" s="4" t="s">
        <v>150</v>
      </c>
      <c r="B83" s="82" t="s">
        <v>152</v>
      </c>
    </row>
  </sheetData>
  <printOptions/>
  <pageMargins left="0.75" right="0.75" top="1" bottom="1" header="0.5" footer="0.5"/>
  <pageSetup fitToHeight="1" fitToWidth="1" orientation="portrait" paperSize="9" scale="61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="125" zoomScaleNormal="125" workbookViewId="0" topLeftCell="A26">
      <selection activeCell="C53" sqref="C53"/>
    </sheetView>
  </sheetViews>
  <sheetFormatPr defaultColWidth="11.00390625" defaultRowHeight="12.75"/>
  <cols>
    <col min="1" max="1" width="3.375" style="113" customWidth="1"/>
    <col min="2" max="2" width="12.375" style="14" customWidth="1"/>
    <col min="3" max="3" width="15.25390625" style="14" customWidth="1"/>
    <col min="4" max="4" width="10.75390625" style="14" customWidth="1"/>
    <col min="5" max="5" width="14.625" style="15" customWidth="1"/>
    <col min="6" max="16384" width="10.75390625" style="14" customWidth="1"/>
  </cols>
  <sheetData>
    <row r="1" spans="1:7" ht="18.75" thickBot="1">
      <c r="A1" s="112">
        <v>1</v>
      </c>
      <c r="E1" s="22"/>
      <c r="F1" s="17"/>
      <c r="G1" s="18"/>
    </row>
    <row r="2" spans="1:7" ht="18.75" thickBot="1">
      <c r="A2" s="113" t="s">
        <v>218</v>
      </c>
      <c r="B2" s="93" t="s">
        <v>219</v>
      </c>
      <c r="C2" s="94"/>
      <c r="D2" s="20"/>
      <c r="E2" s="22"/>
      <c r="F2" s="20"/>
      <c r="G2" s="20"/>
    </row>
    <row r="3" spans="2:7" ht="18.75" thickBot="1">
      <c r="B3" s="15"/>
      <c r="C3" s="19"/>
      <c r="D3" s="20"/>
      <c r="E3" s="21"/>
      <c r="F3" s="20"/>
      <c r="G3" s="20"/>
    </row>
    <row r="4" spans="1:7" ht="18">
      <c r="A4" s="113" t="s">
        <v>220</v>
      </c>
      <c r="B4" s="95" t="s">
        <v>11</v>
      </c>
      <c r="C4" s="96"/>
      <c r="D4" s="97"/>
      <c r="E4" s="21"/>
      <c r="F4" s="20"/>
      <c r="G4" s="20"/>
    </row>
    <row r="5" spans="2:7" ht="18.75" thickBot="1">
      <c r="B5" s="98" t="s">
        <v>15</v>
      </c>
      <c r="C5" s="99"/>
      <c r="D5" s="100"/>
      <c r="E5" s="21"/>
      <c r="F5" s="27"/>
      <c r="G5" s="20"/>
    </row>
    <row r="6" spans="2:7" ht="18.75" thickBot="1">
      <c r="B6" s="15"/>
      <c r="C6" s="19"/>
      <c r="D6" s="20"/>
      <c r="E6" s="21"/>
      <c r="F6" s="27"/>
      <c r="G6" s="20"/>
    </row>
    <row r="7" spans="1:7" ht="18.75" thickBot="1">
      <c r="A7" s="113" t="s">
        <v>16</v>
      </c>
      <c r="B7" s="101" t="s">
        <v>17</v>
      </c>
      <c r="C7" s="102">
        <f>(0.75*1.5)/2</f>
        <v>0.5625</v>
      </c>
      <c r="D7" s="20"/>
      <c r="E7" s="21"/>
      <c r="F7" s="20"/>
      <c r="G7" s="20"/>
    </row>
    <row r="8" spans="2:7" ht="18.75" thickBot="1">
      <c r="B8" s="15"/>
      <c r="C8" s="22"/>
      <c r="D8" s="20"/>
      <c r="E8" s="21"/>
      <c r="F8" s="20"/>
      <c r="G8" s="20"/>
    </row>
    <row r="9" spans="1:5" ht="18.75" thickBot="1">
      <c r="A9" s="113" t="s">
        <v>18</v>
      </c>
      <c r="B9" s="93" t="s">
        <v>19</v>
      </c>
      <c r="C9" s="102">
        <v>0.75</v>
      </c>
      <c r="D9" s="25"/>
      <c r="E9" s="26"/>
    </row>
    <row r="10" spans="2:6" ht="18.75" thickBot="1">
      <c r="B10" s="15"/>
      <c r="C10" s="20"/>
      <c r="D10" s="24"/>
      <c r="E10" s="24"/>
      <c r="F10" s="24"/>
    </row>
    <row r="11" spans="1:8" ht="18.75" thickBot="1">
      <c r="A11" s="113" t="s">
        <v>20</v>
      </c>
      <c r="B11" s="104">
        <v>0</v>
      </c>
      <c r="C11" s="20"/>
      <c r="D11" s="24"/>
      <c r="E11" s="24"/>
      <c r="F11" s="24"/>
      <c r="H11" s="38"/>
    </row>
    <row r="12" spans="1:6" ht="18.75" thickBot="1">
      <c r="A12" s="112"/>
      <c r="B12" s="105"/>
      <c r="C12" s="20"/>
      <c r="D12" s="24"/>
      <c r="E12" s="24"/>
      <c r="F12" s="24"/>
    </row>
    <row r="13" spans="1:6" ht="18.75" thickBot="1">
      <c r="A13" s="113" t="s">
        <v>21</v>
      </c>
      <c r="B13" s="104">
        <v>0</v>
      </c>
      <c r="C13" s="20"/>
      <c r="D13" s="23"/>
      <c r="E13" s="22"/>
      <c r="F13" s="23"/>
    </row>
    <row r="14" spans="2:6" ht="18">
      <c r="B14" s="92"/>
      <c r="C14" s="20"/>
      <c r="D14" s="23"/>
      <c r="E14" s="22"/>
      <c r="F14" s="23"/>
    </row>
    <row r="15" spans="2:6" ht="18">
      <c r="B15" s="92"/>
      <c r="C15" s="20"/>
      <c r="D15" s="23"/>
      <c r="E15" s="22"/>
      <c r="F15" s="23"/>
    </row>
    <row r="16" spans="1:6" ht="18">
      <c r="A16" s="112">
        <v>2</v>
      </c>
      <c r="B16" s="107" t="s">
        <v>31</v>
      </c>
      <c r="C16" s="124" t="s">
        <v>96</v>
      </c>
      <c r="D16" s="23"/>
      <c r="E16" s="22"/>
      <c r="F16" s="23"/>
    </row>
    <row r="17" spans="2:6" ht="18">
      <c r="B17" s="17">
        <v>1980</v>
      </c>
      <c r="C17" s="125">
        <v>50</v>
      </c>
      <c r="D17" s="23"/>
      <c r="E17" s="22"/>
      <c r="F17" s="23"/>
    </row>
    <row r="18" spans="2:5" ht="18">
      <c r="B18" s="17">
        <v>1981</v>
      </c>
      <c r="C18" s="125">
        <v>44</v>
      </c>
      <c r="D18" s="20"/>
      <c r="E18" s="21"/>
    </row>
    <row r="19" spans="2:5" ht="18">
      <c r="B19" s="17">
        <v>1982</v>
      </c>
      <c r="C19" s="125">
        <v>46</v>
      </c>
      <c r="D19" s="20"/>
      <c r="E19" s="21"/>
    </row>
    <row r="20" spans="1:6" ht="18">
      <c r="A20" s="112"/>
      <c r="B20" s="17">
        <v>1983</v>
      </c>
      <c r="C20" s="125">
        <v>48</v>
      </c>
      <c r="D20" s="20"/>
      <c r="E20" s="21"/>
      <c r="F20" s="23"/>
    </row>
    <row r="21" spans="2:6" ht="18">
      <c r="B21" s="17">
        <v>1984</v>
      </c>
      <c r="C21" s="125">
        <v>52</v>
      </c>
      <c r="D21" s="20"/>
      <c r="E21" s="21"/>
      <c r="F21" s="23"/>
    </row>
    <row r="22" spans="2:6" ht="18">
      <c r="B22" s="17">
        <v>1985</v>
      </c>
      <c r="C22" s="125">
        <v>42</v>
      </c>
      <c r="E22" s="23"/>
      <c r="F22" s="20"/>
    </row>
    <row r="23" spans="2:6" ht="18">
      <c r="B23" s="17">
        <v>1986</v>
      </c>
      <c r="C23" s="125">
        <v>46</v>
      </c>
      <c r="D23" s="20"/>
      <c r="E23" s="20"/>
      <c r="F23" s="20"/>
    </row>
    <row r="24" spans="2:6" ht="18">
      <c r="B24" s="17">
        <v>1987</v>
      </c>
      <c r="C24" s="125">
        <v>44</v>
      </c>
      <c r="D24" s="20"/>
      <c r="E24" s="20"/>
      <c r="F24" s="20"/>
    </row>
    <row r="25" spans="2:6" ht="18">
      <c r="B25" s="17">
        <v>1988</v>
      </c>
      <c r="C25" s="125">
        <v>44</v>
      </c>
      <c r="D25" s="20"/>
      <c r="E25" s="20"/>
      <c r="F25" s="20"/>
    </row>
    <row r="26" spans="2:6" ht="18">
      <c r="B26" s="17">
        <v>1989</v>
      </c>
      <c r="C26" s="125">
        <v>80</v>
      </c>
      <c r="E26" s="23"/>
      <c r="F26" s="22"/>
    </row>
    <row r="27" spans="3:6" ht="18.75" thickBot="1">
      <c r="C27" s="24"/>
      <c r="E27" s="23"/>
      <c r="F27" s="23"/>
    </row>
    <row r="28" spans="1:3" ht="18">
      <c r="A28" s="113" t="s">
        <v>218</v>
      </c>
      <c r="B28" s="108" t="s">
        <v>22</v>
      </c>
      <c r="C28" s="126">
        <f>AVERAGE(C17:C26)</f>
        <v>49.6</v>
      </c>
    </row>
    <row r="29" spans="2:6" ht="18">
      <c r="B29" s="109" t="s">
        <v>23</v>
      </c>
      <c r="C29" s="127">
        <f>MEDIAN(C17:C26)</f>
        <v>46</v>
      </c>
      <c r="F29" s="20"/>
    </row>
    <row r="30" spans="2:6" ht="18">
      <c r="B30" s="109" t="s">
        <v>24</v>
      </c>
      <c r="C30" s="127">
        <v>44</v>
      </c>
      <c r="F30" s="20"/>
    </row>
    <row r="31" spans="1:5" s="1" customFormat="1" ht="18">
      <c r="A31" s="112"/>
      <c r="B31" s="110" t="s">
        <v>25</v>
      </c>
      <c r="C31" s="127">
        <f>VARP(C17:C26)</f>
        <v>111.04</v>
      </c>
      <c r="D31" s="28"/>
      <c r="E31" s="28"/>
    </row>
    <row r="32" spans="1:5" s="1" customFormat="1" ht="18.75" thickBot="1">
      <c r="A32" s="113"/>
      <c r="B32" s="111" t="s">
        <v>26</v>
      </c>
      <c r="C32" s="128">
        <f>SQRT(C31)</f>
        <v>10.537551897855593</v>
      </c>
      <c r="D32" s="4"/>
      <c r="E32" s="4"/>
    </row>
    <row r="33" spans="1:5" s="1" customFormat="1" ht="18.75" thickBot="1">
      <c r="A33" s="113"/>
      <c r="B33" s="103"/>
      <c r="C33" s="129"/>
      <c r="D33" s="4"/>
      <c r="E33" s="4"/>
    </row>
    <row r="34" spans="1:5" s="1" customFormat="1" ht="18">
      <c r="A34" s="113" t="s">
        <v>220</v>
      </c>
      <c r="B34" s="108" t="s">
        <v>22</v>
      </c>
      <c r="C34" s="126">
        <f>AVERAGE(C17:C25)</f>
        <v>46.22222222222222</v>
      </c>
      <c r="D34" s="4"/>
      <c r="E34" s="4"/>
    </row>
    <row r="35" spans="1:5" s="1" customFormat="1" ht="18">
      <c r="A35" s="113"/>
      <c r="B35" s="109" t="s">
        <v>23</v>
      </c>
      <c r="C35" s="127">
        <f>MEDIAN(C17:C25)</f>
        <v>46</v>
      </c>
      <c r="D35" s="4"/>
      <c r="E35" s="4"/>
    </row>
    <row r="36" spans="1:5" s="1" customFormat="1" ht="18">
      <c r="A36" s="113"/>
      <c r="B36" s="109" t="s">
        <v>24</v>
      </c>
      <c r="C36" s="127">
        <v>44</v>
      </c>
      <c r="D36" s="4"/>
      <c r="E36" s="4"/>
    </row>
    <row r="37" spans="1:3" s="1" customFormat="1" ht="18">
      <c r="A37" s="113"/>
      <c r="B37" s="110" t="s">
        <v>25</v>
      </c>
      <c r="C37" s="127">
        <f>VARP(C17:C25)</f>
        <v>9.28395061728395</v>
      </c>
    </row>
    <row r="38" spans="1:6" s="1" customFormat="1" ht="18.75" thickBot="1">
      <c r="A38" s="113"/>
      <c r="B38" s="111" t="s">
        <v>26</v>
      </c>
      <c r="C38" s="128">
        <f>SQRT(C37)</f>
        <v>3.0469576001782417</v>
      </c>
      <c r="F38" s="30"/>
    </row>
    <row r="39" spans="1:6" s="1" customFormat="1" ht="18.75" thickBot="1">
      <c r="A39" s="113"/>
      <c r="C39" s="10"/>
      <c r="E39" s="6"/>
      <c r="F39" s="30"/>
    </row>
    <row r="40" spans="1:8" s="1" customFormat="1" ht="18.75" thickBot="1">
      <c r="A40" s="113"/>
      <c r="B40" s="11" t="s">
        <v>59</v>
      </c>
      <c r="C40" s="130"/>
      <c r="D40" s="121"/>
      <c r="E40" s="120"/>
      <c r="F40" s="122"/>
      <c r="G40" s="123"/>
      <c r="H40" s="142"/>
    </row>
    <row r="41" spans="1:6" s="1" customFormat="1" ht="18">
      <c r="A41" s="113"/>
      <c r="C41" s="10"/>
      <c r="E41" s="6"/>
      <c r="F41" s="30"/>
    </row>
    <row r="42" spans="1:6" ht="18.75" thickBot="1">
      <c r="A42" s="113">
        <v>3</v>
      </c>
      <c r="C42" s="129"/>
      <c r="F42" s="20"/>
    </row>
    <row r="43" spans="1:6" ht="18.75" thickBot="1">
      <c r="A43" s="113" t="s">
        <v>218</v>
      </c>
      <c r="B43" s="118" t="s">
        <v>60</v>
      </c>
      <c r="C43" s="131"/>
      <c r="D43" s="28"/>
      <c r="E43" s="28"/>
      <c r="F43" s="1"/>
    </row>
    <row r="44" spans="2:6" ht="18.75" thickBot="1">
      <c r="B44" s="29"/>
      <c r="C44" s="34"/>
      <c r="D44" s="6"/>
      <c r="E44" s="4"/>
      <c r="F44" s="1"/>
    </row>
    <row r="45" spans="1:6" ht="18">
      <c r="A45" s="113" t="s">
        <v>220</v>
      </c>
      <c r="B45" s="114" t="s">
        <v>160</v>
      </c>
      <c r="C45" s="132" t="s">
        <v>161</v>
      </c>
      <c r="D45" s="106" t="s">
        <v>29</v>
      </c>
      <c r="E45" s="107" t="s">
        <v>28</v>
      </c>
      <c r="F45" s="1"/>
    </row>
    <row r="46" spans="2:6" ht="18">
      <c r="B46" s="115">
        <v>0</v>
      </c>
      <c r="C46" s="72">
        <f>0.95^2</f>
        <v>0.9025</v>
      </c>
      <c r="D46" s="6">
        <f>B46*C46</f>
        <v>0</v>
      </c>
      <c r="E46" s="6">
        <f>B46^2*C46</f>
        <v>0</v>
      </c>
      <c r="F46" s="1"/>
    </row>
    <row r="47" spans="2:6" ht="18">
      <c r="B47" s="116">
        <v>5</v>
      </c>
      <c r="C47" s="72">
        <f>0.95*0.05</f>
        <v>0.0475</v>
      </c>
      <c r="D47" s="6">
        <f>B47*C47</f>
        <v>0.2375</v>
      </c>
      <c r="E47" s="6">
        <f>B47^2*C47</f>
        <v>1.1875</v>
      </c>
      <c r="F47" s="1"/>
    </row>
    <row r="48" spans="2:6" ht="18">
      <c r="B48" s="109">
        <v>10</v>
      </c>
      <c r="C48" s="72">
        <f>0.95*0.05</f>
        <v>0.0475</v>
      </c>
      <c r="D48" s="6">
        <f>B48*C48</f>
        <v>0.475</v>
      </c>
      <c r="E48" s="6">
        <f>B48^2*C48</f>
        <v>4.75</v>
      </c>
      <c r="F48" s="1"/>
    </row>
    <row r="49" spans="2:6" ht="18">
      <c r="B49" s="115">
        <v>15</v>
      </c>
      <c r="C49" s="133">
        <f>0.05^2</f>
        <v>0.0025000000000000005</v>
      </c>
      <c r="D49" s="106">
        <f>B49*C49</f>
        <v>0.037500000000000006</v>
      </c>
      <c r="E49" s="106">
        <f>B49^2*C49</f>
        <v>0.5625000000000001</v>
      </c>
      <c r="F49" s="1"/>
    </row>
    <row r="50" spans="2:6" ht="18.75" thickBot="1">
      <c r="B50" s="117"/>
      <c r="C50" s="74">
        <f>SUM(C46:C49)</f>
        <v>0.9999999999999999</v>
      </c>
      <c r="D50" s="6">
        <f>SUM(D46:D49)</f>
        <v>0.7499999999999999</v>
      </c>
      <c r="E50" s="6">
        <f>SUM(E46:E49)</f>
        <v>6.5</v>
      </c>
      <c r="F50" s="1"/>
    </row>
    <row r="51" spans="2:6" ht="18.75" thickBot="1">
      <c r="B51" s="29"/>
      <c r="C51" s="34"/>
      <c r="D51" s="6"/>
      <c r="E51" s="6"/>
      <c r="F51" s="1"/>
    </row>
    <row r="52" spans="1:6" ht="18">
      <c r="A52" s="113" t="s">
        <v>27</v>
      </c>
      <c r="B52" s="119" t="s">
        <v>22</v>
      </c>
      <c r="C52" s="134">
        <f>D50</f>
        <v>0.7499999999999999</v>
      </c>
      <c r="D52" s="6"/>
      <c r="E52" s="6"/>
      <c r="F52" s="1"/>
    </row>
    <row r="53" spans="2:6" ht="18">
      <c r="B53" s="71" t="s">
        <v>25</v>
      </c>
      <c r="C53" s="72">
        <f>E50-C52^2</f>
        <v>5.9375</v>
      </c>
      <c r="D53" s="1"/>
      <c r="E53" s="1"/>
      <c r="F53" s="1"/>
    </row>
    <row r="54" spans="2:6" ht="18">
      <c r="B54" s="71" t="s">
        <v>26</v>
      </c>
      <c r="C54" s="72">
        <f>SQRT(C53)</f>
        <v>2.436698586202241</v>
      </c>
      <c r="D54" s="1"/>
      <c r="E54" s="1"/>
      <c r="F54" s="30"/>
    </row>
    <row r="55" spans="2:6" ht="18.75" thickBot="1">
      <c r="B55" s="73" t="s">
        <v>30</v>
      </c>
      <c r="C55" s="74">
        <v>0</v>
      </c>
      <c r="D55" s="1"/>
      <c r="E55" s="6"/>
      <c r="F55" s="30"/>
    </row>
    <row r="56" spans="2:7" ht="18.75" thickBot="1">
      <c r="B56" s="1"/>
      <c r="C56" s="6"/>
      <c r="D56" s="1"/>
      <c r="E56" s="6"/>
      <c r="F56" s="30"/>
      <c r="G56" s="23"/>
    </row>
    <row r="57" spans="1:6" ht="18">
      <c r="A57" s="113" t="s">
        <v>18</v>
      </c>
      <c r="B57" s="135"/>
      <c r="C57" s="136" t="s">
        <v>97</v>
      </c>
      <c r="D57" s="134">
        <f>0.95-D50</f>
        <v>0.20000000000000007</v>
      </c>
      <c r="E57" s="6"/>
      <c r="F57" s="30"/>
    </row>
    <row r="58" spans="2:5" ht="18">
      <c r="B58" s="137"/>
      <c r="C58" s="20" t="s">
        <v>99</v>
      </c>
      <c r="D58" s="138">
        <v>500</v>
      </c>
      <c r="E58" s="21"/>
    </row>
    <row r="59" spans="2:5" ht="18.75" thickBot="1">
      <c r="B59" s="139"/>
      <c r="C59" s="140" t="s">
        <v>98</v>
      </c>
      <c r="D59" s="141">
        <f>D57*D58</f>
        <v>100.00000000000003</v>
      </c>
      <c r="E59" s="21"/>
    </row>
    <row r="60" spans="1:5" ht="18">
      <c r="A60" s="112"/>
      <c r="B60" s="20"/>
      <c r="C60" s="20"/>
      <c r="D60" s="20"/>
      <c r="E60" s="21"/>
    </row>
    <row r="61" spans="2:5" ht="18">
      <c r="B61" s="16"/>
      <c r="C61" s="27"/>
      <c r="D61" s="20"/>
      <c r="E61" s="21"/>
    </row>
    <row r="62" ht="18">
      <c r="C62" s="27"/>
    </row>
    <row r="63" spans="2:4" ht="18">
      <c r="B63" s="23"/>
      <c r="C63" s="27"/>
      <c r="D63" s="15"/>
    </row>
    <row r="64" spans="2:6" ht="18">
      <c r="B64" s="23"/>
      <c r="C64" s="27"/>
      <c r="D64" s="15"/>
      <c r="F64" s="15"/>
    </row>
    <row r="65" spans="3:6" ht="18">
      <c r="C65" s="20"/>
      <c r="F65" s="15"/>
    </row>
    <row r="66" spans="3:6" ht="18">
      <c r="C66" s="20"/>
      <c r="F66" s="15"/>
    </row>
  </sheetData>
  <printOptions/>
  <pageMargins left="0.75" right="0.75" top="1" bottom="1" header="0.5" footer="0.5"/>
  <pageSetup fitToHeight="1" fitToWidth="1" orientation="portrait" paperSize="9" scale="8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8"/>
  <sheetViews>
    <sheetView zoomScale="125" zoomScaleNormal="125" workbookViewId="0" topLeftCell="A11">
      <selection activeCell="B84" sqref="B84"/>
    </sheetView>
  </sheetViews>
  <sheetFormatPr defaultColWidth="11.00390625" defaultRowHeight="12.75"/>
  <cols>
    <col min="1" max="1" width="4.125" style="1" customWidth="1"/>
    <col min="2" max="2" width="33.75390625" style="1" customWidth="1"/>
    <col min="3" max="3" width="12.75390625" style="33" bestFit="1" customWidth="1"/>
    <col min="4" max="4" width="7.375" style="32" customWidth="1"/>
    <col min="5" max="16384" width="10.75390625" style="32" customWidth="1"/>
  </cols>
  <sheetData>
    <row r="1" spans="1:7" s="1" customFormat="1" ht="13.5" thickBot="1">
      <c r="A1" s="39">
        <v>1</v>
      </c>
      <c r="B1" s="4"/>
      <c r="C1" s="33"/>
      <c r="D1" s="40"/>
      <c r="E1" s="40"/>
      <c r="F1" s="143"/>
      <c r="G1" s="143"/>
    </row>
    <row r="2" spans="1:7" ht="13.5" thickBot="1">
      <c r="A2" s="40" t="s">
        <v>218</v>
      </c>
      <c r="B2" s="4" t="s">
        <v>32</v>
      </c>
      <c r="C2" s="150">
        <f>32^4</f>
        <v>1048576</v>
      </c>
      <c r="D2" s="145"/>
      <c r="E2" s="146"/>
      <c r="F2" s="143"/>
      <c r="G2" s="143"/>
    </row>
    <row r="3" spans="1:7" ht="13.5" thickBot="1">
      <c r="A3" s="40"/>
      <c r="B3" s="4"/>
      <c r="D3" s="145"/>
      <c r="E3" s="146"/>
      <c r="F3" s="143"/>
      <c r="G3" s="143"/>
    </row>
    <row r="4" spans="1:7" ht="13.5" thickBot="1">
      <c r="A4" s="40" t="s">
        <v>220</v>
      </c>
      <c r="B4" s="4" t="s">
        <v>94</v>
      </c>
      <c r="C4" s="150">
        <f>30*30*6*2</f>
        <v>10800</v>
      </c>
      <c r="D4" s="145"/>
      <c r="E4" s="146"/>
      <c r="F4" s="143"/>
      <c r="G4" s="143"/>
    </row>
    <row r="5" spans="1:7" ht="12.75">
      <c r="A5" s="40"/>
      <c r="B5" s="33" t="s">
        <v>95</v>
      </c>
      <c r="D5" s="145"/>
      <c r="E5" s="146"/>
      <c r="F5" s="143"/>
      <c r="G5" s="143"/>
    </row>
    <row r="6" spans="1:7" ht="12.75">
      <c r="A6" s="40"/>
      <c r="B6" s="4"/>
      <c r="D6" s="145"/>
      <c r="E6" s="146"/>
      <c r="F6" s="143"/>
      <c r="G6" s="143"/>
    </row>
    <row r="7" spans="1:7" ht="12.75">
      <c r="A7" s="40" t="s">
        <v>16</v>
      </c>
      <c r="B7" s="40" t="s">
        <v>12</v>
      </c>
      <c r="C7" s="33" t="s">
        <v>13</v>
      </c>
      <c r="D7" s="145"/>
      <c r="E7" s="145"/>
      <c r="F7" s="143"/>
      <c r="G7" s="143"/>
    </row>
    <row r="8" spans="1:7" ht="13.5" thickBot="1">
      <c r="A8" s="40"/>
      <c r="B8" s="148" t="s">
        <v>246</v>
      </c>
      <c r="C8" s="33">
        <f>24^3*8*4</f>
        <v>442368</v>
      </c>
      <c r="D8" s="143"/>
      <c r="E8" s="143"/>
      <c r="F8" s="143"/>
      <c r="G8" s="143"/>
    </row>
    <row r="9" spans="1:7" ht="13.5" thickBot="1">
      <c r="A9" s="40"/>
      <c r="B9" s="40" t="s">
        <v>33</v>
      </c>
      <c r="C9" s="151">
        <f>C8/C2</f>
        <v>0.421875</v>
      </c>
      <c r="D9" s="143"/>
      <c r="E9" s="143"/>
      <c r="F9" s="143"/>
      <c r="G9" s="143"/>
    </row>
    <row r="10" spans="1:7" ht="12.75">
      <c r="A10" s="40"/>
      <c r="B10" s="40"/>
      <c r="D10" s="145"/>
      <c r="E10" s="145"/>
      <c r="F10" s="145"/>
      <c r="G10" s="143"/>
    </row>
    <row r="11" spans="1:7" ht="13.5" thickBot="1">
      <c r="A11" s="39">
        <v>2</v>
      </c>
      <c r="B11" s="40"/>
      <c r="D11" s="145"/>
      <c r="E11" s="145"/>
      <c r="F11" s="145"/>
      <c r="G11" s="143"/>
    </row>
    <row r="12" spans="1:7" ht="13.5" thickBot="1">
      <c r="A12" s="40" t="s">
        <v>218</v>
      </c>
      <c r="B12" s="40" t="s">
        <v>14</v>
      </c>
      <c r="C12" s="151">
        <f>BINOMDIST(7,21,0.3,FALSE)</f>
        <v>0.17247508447809795</v>
      </c>
      <c r="D12" s="143"/>
      <c r="E12" s="143"/>
      <c r="F12" s="143"/>
      <c r="G12" s="143"/>
    </row>
    <row r="13" spans="1:7" ht="12.75">
      <c r="A13" s="40"/>
      <c r="B13" s="40"/>
      <c r="D13" s="145"/>
      <c r="E13" s="145"/>
      <c r="F13" s="145"/>
      <c r="G13" s="143"/>
    </row>
    <row r="14" spans="1:7" ht="12.75">
      <c r="A14" s="40" t="s">
        <v>220</v>
      </c>
      <c r="B14" s="40" t="s">
        <v>215</v>
      </c>
      <c r="C14" s="36">
        <f>BINOMDIST(0,21,0.1,FALSE)</f>
        <v>0.10941898913151242</v>
      </c>
      <c r="D14" s="145"/>
      <c r="E14" s="145"/>
      <c r="F14" s="145"/>
      <c r="G14" s="143"/>
    </row>
    <row r="15" spans="1:7" ht="13.5" thickBot="1">
      <c r="A15" s="40"/>
      <c r="B15" s="148" t="s">
        <v>216</v>
      </c>
      <c r="C15" s="149">
        <f>BINOMDIST(1,21,0.1,FALSE)</f>
        <v>0.2553109746401956</v>
      </c>
      <c r="D15" s="143"/>
      <c r="E15" s="143"/>
      <c r="F15" s="143"/>
      <c r="G15" s="143"/>
    </row>
    <row r="16" spans="1:7" ht="13.5" thickBot="1">
      <c r="A16" s="40"/>
      <c r="B16" s="40"/>
      <c r="C16" s="151">
        <f>C14+C15</f>
        <v>0.364729963771708</v>
      </c>
      <c r="D16" s="143"/>
      <c r="E16" s="143"/>
      <c r="F16" s="143"/>
      <c r="G16" s="143"/>
    </row>
    <row r="17" spans="1:7" ht="12.75">
      <c r="A17" s="40"/>
      <c r="B17" s="40"/>
      <c r="D17" s="143"/>
      <c r="E17" s="143"/>
      <c r="F17" s="143"/>
      <c r="G17" s="143"/>
    </row>
    <row r="18" spans="1:7" ht="13.5" thickBot="1">
      <c r="A18" s="40" t="s">
        <v>16</v>
      </c>
      <c r="B18" s="4" t="s">
        <v>104</v>
      </c>
      <c r="D18" s="33"/>
      <c r="E18" s="33"/>
      <c r="F18" s="33"/>
      <c r="G18" s="143"/>
    </row>
    <row r="19" spans="1:7" ht="13.5" thickBot="1">
      <c r="A19" s="40"/>
      <c r="B19" s="4" t="s">
        <v>103</v>
      </c>
      <c r="C19" s="151">
        <f>1-0.9^21</f>
        <v>0.8905810108684875</v>
      </c>
      <c r="D19" s="33"/>
      <c r="E19" s="143"/>
      <c r="F19" s="143"/>
      <c r="G19" s="143"/>
    </row>
    <row r="20" spans="1:7" ht="12.75">
      <c r="A20" s="40"/>
      <c r="B20" s="40"/>
      <c r="D20" s="144"/>
      <c r="E20" s="143"/>
      <c r="F20" s="143"/>
      <c r="G20" s="143"/>
    </row>
    <row r="21" spans="1:7" ht="12.75">
      <c r="A21" s="40" t="s">
        <v>18</v>
      </c>
      <c r="B21" s="39" t="s">
        <v>93</v>
      </c>
      <c r="D21" s="144"/>
      <c r="E21" s="143"/>
      <c r="F21" s="143"/>
      <c r="G21" s="143"/>
    </row>
    <row r="22" spans="1:7" ht="12.75">
      <c r="A22" s="39"/>
      <c r="B22" s="40" t="s">
        <v>197</v>
      </c>
      <c r="C22" s="36">
        <f>BINOMDIST(0,21,0.1,FALSE)</f>
        <v>0.10941898913151242</v>
      </c>
      <c r="D22" s="144"/>
      <c r="E22" s="143"/>
      <c r="F22" s="143"/>
      <c r="G22" s="143"/>
    </row>
    <row r="23" spans="1:7" ht="13.5" thickBot="1">
      <c r="A23" s="39"/>
      <c r="B23" s="40" t="s">
        <v>198</v>
      </c>
      <c r="C23" s="36">
        <f>BINOMDIST(1,21,0.1,FALSE)</f>
        <v>0.2553109746401956</v>
      </c>
      <c r="D23" s="144"/>
      <c r="E23" s="143"/>
      <c r="F23" s="143"/>
      <c r="G23" s="143"/>
    </row>
    <row r="24" spans="1:7" ht="13.5" thickBot="1">
      <c r="A24" s="39"/>
      <c r="B24" s="40" t="s">
        <v>199</v>
      </c>
      <c r="C24" s="151">
        <f>C22+C23</f>
        <v>0.364729963771708</v>
      </c>
      <c r="D24" s="144"/>
      <c r="E24" s="143"/>
      <c r="F24" s="143"/>
      <c r="G24" s="143"/>
    </row>
    <row r="25" spans="1:7" ht="12.75">
      <c r="A25" s="40"/>
      <c r="B25" s="40"/>
      <c r="D25" s="144"/>
      <c r="E25" s="143"/>
      <c r="F25" s="143"/>
      <c r="G25" s="143"/>
    </row>
    <row r="26" spans="1:7" ht="12.75">
      <c r="A26" s="39">
        <v>3</v>
      </c>
      <c r="B26" s="39" t="s">
        <v>111</v>
      </c>
      <c r="D26" s="144"/>
      <c r="E26" s="143"/>
      <c r="F26" s="143"/>
      <c r="G26" s="143"/>
    </row>
    <row r="27" spans="1:7" ht="12.75">
      <c r="A27" s="40"/>
      <c r="B27" s="4" t="s">
        <v>105</v>
      </c>
      <c r="D27" s="144"/>
      <c r="E27" s="143"/>
      <c r="F27" s="143"/>
      <c r="G27" s="143"/>
    </row>
    <row r="28" spans="1:7" ht="12.75">
      <c r="A28" s="40"/>
      <c r="B28" s="4" t="s">
        <v>106</v>
      </c>
      <c r="D28" s="144"/>
      <c r="E28" s="143"/>
      <c r="F28" s="143"/>
      <c r="G28" s="143"/>
    </row>
    <row r="29" spans="1:7" ht="13.5" thickBot="1">
      <c r="A29" s="40"/>
      <c r="B29" s="4"/>
      <c r="D29" s="144"/>
      <c r="E29" s="143"/>
      <c r="F29" s="143"/>
      <c r="G29" s="143"/>
    </row>
    <row r="30" spans="1:7" ht="13.5" thickBot="1">
      <c r="A30" s="40" t="s">
        <v>218</v>
      </c>
      <c r="B30" s="152" t="s">
        <v>112</v>
      </c>
      <c r="D30" s="143"/>
      <c r="E30" s="143"/>
      <c r="F30" s="143"/>
      <c r="G30" s="143"/>
    </row>
    <row r="31" spans="1:7" s="1" customFormat="1" ht="12.75">
      <c r="A31" s="40"/>
      <c r="B31" s="40"/>
      <c r="C31" s="33"/>
      <c r="D31" s="143"/>
      <c r="E31" s="143"/>
      <c r="F31" s="143"/>
      <c r="G31" s="143"/>
    </row>
    <row r="32" spans="1:7" ht="12.75">
      <c r="A32" s="40"/>
      <c r="B32" s="40" t="s">
        <v>107</v>
      </c>
      <c r="D32" s="4"/>
      <c r="E32" s="40"/>
      <c r="F32" s="40"/>
      <c r="G32" s="143"/>
    </row>
    <row r="33" spans="1:7" ht="12.75">
      <c r="A33" s="40"/>
      <c r="B33" s="40" t="s">
        <v>113</v>
      </c>
      <c r="D33" s="144"/>
      <c r="E33" s="147"/>
      <c r="F33" s="147"/>
      <c r="G33" s="143"/>
    </row>
    <row r="34" spans="1:7" ht="13.5" thickBot="1">
      <c r="A34" s="40"/>
      <c r="B34" s="40"/>
      <c r="D34" s="144"/>
      <c r="E34" s="147"/>
      <c r="F34" s="147"/>
      <c r="G34" s="143"/>
    </row>
    <row r="35" spans="1:7" ht="13.5" thickBot="1">
      <c r="A35" s="40" t="s">
        <v>220</v>
      </c>
      <c r="B35" s="153" t="s">
        <v>34</v>
      </c>
      <c r="C35" s="154"/>
      <c r="D35" s="155"/>
      <c r="E35" s="156"/>
      <c r="F35" s="147"/>
      <c r="G35" s="143"/>
    </row>
    <row r="36" spans="1:7" ht="12.75">
      <c r="A36" s="40"/>
      <c r="B36" s="40"/>
      <c r="D36" s="144"/>
      <c r="E36" s="147"/>
      <c r="F36" s="147"/>
      <c r="G36" s="143"/>
    </row>
    <row r="37" spans="1:7" ht="12.75">
      <c r="A37" s="40"/>
      <c r="B37" s="40" t="s">
        <v>108</v>
      </c>
      <c r="C37" s="33" t="s">
        <v>109</v>
      </c>
      <c r="D37" s="4" t="s">
        <v>110</v>
      </c>
      <c r="E37" s="147"/>
      <c r="F37" s="147"/>
      <c r="G37" s="143"/>
    </row>
    <row r="38" spans="1:7" ht="13.5" thickBot="1">
      <c r="A38" s="40"/>
      <c r="B38" s="40">
        <v>0</v>
      </c>
      <c r="C38" s="36">
        <f>BINOMDIST(B38,15,0.3,FALSE)</f>
        <v>0.004747561509942995</v>
      </c>
      <c r="D38" s="6">
        <f>BINOMDIST(B38,15,0.3,TRUE)</f>
        <v>0.004747561509942995</v>
      </c>
      <c r="E38" s="147"/>
      <c r="F38" s="147"/>
      <c r="G38" s="143"/>
    </row>
    <row r="39" spans="1:7" ht="13.5" thickBot="1">
      <c r="A39" s="40" t="s">
        <v>35</v>
      </c>
      <c r="B39" s="152">
        <v>1</v>
      </c>
      <c r="C39" s="36">
        <f aca="true" t="shared" si="0" ref="C39:C53">BINOMDIST(B39,15,0.3,FALSE)</f>
        <v>0.03052003827820497</v>
      </c>
      <c r="D39" s="157">
        <f aca="true" t="shared" si="1" ref="D39:D53">BINOMDIST(B39,15,0.3,TRUE)</f>
        <v>0.03526759978814796</v>
      </c>
      <c r="E39" s="147" t="s">
        <v>36</v>
      </c>
      <c r="F39" s="147"/>
      <c r="G39" s="143"/>
    </row>
    <row r="40" spans="1:7" ht="12.75">
      <c r="A40" s="40"/>
      <c r="B40" s="40">
        <v>2</v>
      </c>
      <c r="C40" s="36">
        <f t="shared" si="0"/>
        <v>0.0915601148346149</v>
      </c>
      <c r="D40" s="6">
        <f t="shared" si="1"/>
        <v>0.12682771462276288</v>
      </c>
      <c r="E40" s="143"/>
      <c r="F40" s="143"/>
      <c r="G40" s="143"/>
    </row>
    <row r="41" spans="1:7" ht="12.75">
      <c r="A41" s="40"/>
      <c r="B41" s="40">
        <v>3</v>
      </c>
      <c r="C41" s="36">
        <f t="shared" si="0"/>
        <v>0.17004021326428476</v>
      </c>
      <c r="D41" s="6">
        <f t="shared" si="1"/>
        <v>0.29686792788704763</v>
      </c>
      <c r="E41" s="147"/>
      <c r="F41" s="147"/>
      <c r="G41" s="143"/>
    </row>
    <row r="42" spans="1:7" ht="12.75">
      <c r="A42" s="40"/>
      <c r="B42" s="40">
        <v>4</v>
      </c>
      <c r="C42" s="36">
        <f t="shared" si="0"/>
        <v>0.21862313133979472</v>
      </c>
      <c r="D42" s="6">
        <f t="shared" si="1"/>
        <v>0.5154910592268424</v>
      </c>
      <c r="E42" s="147"/>
      <c r="F42" s="143"/>
      <c r="G42" s="143"/>
    </row>
    <row r="43" spans="1:7" ht="12.75">
      <c r="A43" s="40"/>
      <c r="B43" s="40">
        <v>5</v>
      </c>
      <c r="C43" s="36">
        <f t="shared" si="0"/>
        <v>0.20613038097752076</v>
      </c>
      <c r="D43" s="6">
        <f t="shared" si="1"/>
        <v>0.7216214402043631</v>
      </c>
      <c r="E43" s="143"/>
      <c r="F43" s="143"/>
      <c r="G43" s="143"/>
    </row>
    <row r="44" spans="1:7" ht="12.75">
      <c r="A44" s="40"/>
      <c r="B44" s="40">
        <v>6</v>
      </c>
      <c r="C44" s="36">
        <f t="shared" si="0"/>
        <v>0.1472359864125147</v>
      </c>
      <c r="D44" s="6">
        <f t="shared" si="1"/>
        <v>0.8688574266168778</v>
      </c>
      <c r="E44" s="40"/>
      <c r="F44" s="143"/>
      <c r="G44" s="143"/>
    </row>
    <row r="45" spans="1:7" ht="12.75">
      <c r="A45" s="40"/>
      <c r="B45" s="40">
        <v>7</v>
      </c>
      <c r="C45" s="36">
        <f t="shared" si="0"/>
        <v>0.08113003332934485</v>
      </c>
      <c r="D45" s="6">
        <f t="shared" si="1"/>
        <v>0.9499874599462227</v>
      </c>
      <c r="E45" s="40"/>
      <c r="F45" s="143"/>
      <c r="G45" s="143"/>
    </row>
    <row r="46" spans="1:7" s="1" customFormat="1" ht="12.75">
      <c r="A46" s="40"/>
      <c r="B46" s="40">
        <v>8</v>
      </c>
      <c r="C46" s="36">
        <f t="shared" si="0"/>
        <v>0.034770014284004946</v>
      </c>
      <c r="D46" s="6">
        <f t="shared" si="1"/>
        <v>0.9847574742302276</v>
      </c>
      <c r="E46" s="143"/>
      <c r="F46" s="143"/>
      <c r="G46" s="143"/>
    </row>
    <row r="47" spans="1:8" s="1" customFormat="1" ht="12.75">
      <c r="A47" s="40"/>
      <c r="B47" s="40">
        <v>9</v>
      </c>
      <c r="C47" s="36">
        <f t="shared" si="0"/>
        <v>0.011590004761334984</v>
      </c>
      <c r="D47" s="6">
        <f t="shared" si="1"/>
        <v>0.9963474789915626</v>
      </c>
      <c r="E47" s="40"/>
      <c r="F47" s="40"/>
      <c r="G47" s="143"/>
      <c r="H47" s="2"/>
    </row>
    <row r="48" spans="1:7" ht="12.75">
      <c r="A48" s="40"/>
      <c r="B48" s="40">
        <v>10</v>
      </c>
      <c r="C48" s="36">
        <f t="shared" si="0"/>
        <v>0.002980286938628996</v>
      </c>
      <c r="D48" s="6">
        <f t="shared" si="1"/>
        <v>0.9993277659301916</v>
      </c>
      <c r="E48" s="41"/>
      <c r="F48" s="143"/>
      <c r="G48" s="143"/>
    </row>
    <row r="49" spans="1:7" ht="12.75">
      <c r="A49" s="40"/>
      <c r="B49" s="40">
        <v>11</v>
      </c>
      <c r="C49" s="36">
        <f t="shared" si="0"/>
        <v>0.0005805753776549995</v>
      </c>
      <c r="D49" s="6">
        <f t="shared" si="1"/>
        <v>0.9999083413078466</v>
      </c>
      <c r="E49" s="41"/>
      <c r="F49" s="143"/>
      <c r="G49" s="143"/>
    </row>
    <row r="50" spans="1:7" ht="12.75">
      <c r="A50" s="40"/>
      <c r="B50" s="40">
        <v>12</v>
      </c>
      <c r="C50" s="36">
        <f t="shared" si="0"/>
        <v>8.293933966499978E-05</v>
      </c>
      <c r="D50" s="6">
        <f t="shared" si="1"/>
        <v>0.9999912806475115</v>
      </c>
      <c r="E50" s="143"/>
      <c r="F50" s="143"/>
      <c r="G50" s="143"/>
    </row>
    <row r="51" spans="1:7" ht="12.75">
      <c r="A51" s="33"/>
      <c r="B51" s="40">
        <v>13</v>
      </c>
      <c r="C51" s="36">
        <f t="shared" si="0"/>
        <v>8.20279183499998E-06</v>
      </c>
      <c r="D51" s="6">
        <f t="shared" si="1"/>
        <v>0.9999994834393465</v>
      </c>
      <c r="E51" s="143"/>
      <c r="F51" s="143"/>
      <c r="G51" s="143"/>
    </row>
    <row r="52" spans="1:7" ht="12.75">
      <c r="A52" s="40"/>
      <c r="B52" s="40">
        <v>14</v>
      </c>
      <c r="C52" s="36">
        <f t="shared" si="0"/>
        <v>5.022117449999988E-07</v>
      </c>
      <c r="D52" s="6">
        <f t="shared" si="1"/>
        <v>0.9999999856510915</v>
      </c>
      <c r="E52" s="144"/>
      <c r="F52" s="144"/>
      <c r="G52" s="143"/>
    </row>
    <row r="53" spans="1:7" ht="12.75">
      <c r="A53" s="40"/>
      <c r="B53" s="40">
        <v>15</v>
      </c>
      <c r="C53" s="36">
        <f t="shared" si="0"/>
        <v>1.434890699999997E-08</v>
      </c>
      <c r="D53" s="6">
        <f t="shared" si="1"/>
        <v>0.9999999999999984</v>
      </c>
      <c r="E53" s="143"/>
      <c r="F53" s="143"/>
      <c r="G53" s="143"/>
    </row>
    <row r="54" spans="1:7" ht="12.75">
      <c r="A54" s="40"/>
      <c r="B54" s="4"/>
      <c r="D54" s="33"/>
      <c r="E54" s="33"/>
      <c r="F54" s="33"/>
      <c r="G54" s="33"/>
    </row>
    <row r="55" spans="1:7" ht="12.75">
      <c r="A55" s="40"/>
      <c r="B55" s="4"/>
      <c r="D55" s="144"/>
      <c r="E55" s="144"/>
      <c r="F55" s="143"/>
      <c r="G55" s="143"/>
    </row>
    <row r="56" spans="1:7" ht="12.75">
      <c r="A56" s="39">
        <v>4</v>
      </c>
      <c r="B56" s="4" t="s">
        <v>37</v>
      </c>
      <c r="C56" s="33">
        <v>16</v>
      </c>
      <c r="D56" s="144"/>
      <c r="E56" s="143"/>
      <c r="F56" s="143"/>
      <c r="G56" s="143"/>
    </row>
    <row r="57" spans="2:3" ht="12.75">
      <c r="B57" s="1" t="s">
        <v>39</v>
      </c>
      <c r="C57" s="158">
        <v>0.0256</v>
      </c>
    </row>
    <row r="58" spans="2:3" ht="12.75">
      <c r="B58" s="1" t="s">
        <v>38</v>
      </c>
      <c r="C58" s="158">
        <f>SQRT(C57)</f>
        <v>0.16</v>
      </c>
    </row>
    <row r="60" spans="1:3" ht="12.75">
      <c r="A60" s="1" t="s">
        <v>218</v>
      </c>
      <c r="B60" s="1" t="s">
        <v>40</v>
      </c>
      <c r="C60" s="36">
        <v>15.85</v>
      </c>
    </row>
    <row r="61" spans="2:3" ht="12.75">
      <c r="B61" s="1" t="s">
        <v>41</v>
      </c>
      <c r="C61" s="36">
        <v>15.95</v>
      </c>
    </row>
    <row r="62" spans="2:3" ht="12.75">
      <c r="B62" s="1" t="s">
        <v>42</v>
      </c>
      <c r="C62" s="36">
        <f>(C60-$C$56)/$C$58</f>
        <v>-0.9375000000000022</v>
      </c>
    </row>
    <row r="63" spans="2:3" ht="12.75">
      <c r="B63" s="1" t="s">
        <v>141</v>
      </c>
      <c r="C63" s="36">
        <f>(C61-$C$56)/$C$58</f>
        <v>-0.31250000000000444</v>
      </c>
    </row>
    <row r="64" spans="2:3" ht="12.75">
      <c r="B64" s="1" t="s">
        <v>142</v>
      </c>
      <c r="C64" s="36">
        <f>NORMSDIST(C62)</f>
        <v>0.17425071188054186</v>
      </c>
    </row>
    <row r="65" spans="2:3" ht="13.5" thickBot="1">
      <c r="B65" s="1" t="s">
        <v>143</v>
      </c>
      <c r="C65" s="36">
        <f>NORMSDIST(C63)</f>
        <v>0.37733028152984127</v>
      </c>
    </row>
    <row r="66" spans="2:3" ht="13.5" thickBot="1">
      <c r="B66" s="1" t="s">
        <v>144</v>
      </c>
      <c r="C66" s="151">
        <f>C65-C64</f>
        <v>0.2030795696492994</v>
      </c>
    </row>
    <row r="68" spans="1:3" ht="12.75">
      <c r="A68" s="1" t="s">
        <v>220</v>
      </c>
      <c r="B68" s="1" t="s">
        <v>40</v>
      </c>
      <c r="C68" s="36">
        <v>15.89</v>
      </c>
    </row>
    <row r="69" spans="2:3" ht="12.75">
      <c r="B69" s="1" t="s">
        <v>193</v>
      </c>
      <c r="C69" s="36">
        <v>0.47</v>
      </c>
    </row>
    <row r="70" spans="2:3" ht="12.75">
      <c r="B70" s="1" t="s">
        <v>42</v>
      </c>
      <c r="C70" s="36">
        <f>(C68-$C$56)/$C$58</f>
        <v>-0.6874999999999964</v>
      </c>
    </row>
    <row r="71" spans="2:7" ht="12.75">
      <c r="B71" s="1" t="s">
        <v>142</v>
      </c>
      <c r="C71" s="36">
        <f>NORMSDIST(C70)</f>
        <v>0.24588385038026273</v>
      </c>
      <c r="F71" s="1"/>
      <c r="G71" s="36"/>
    </row>
    <row r="72" spans="2:7" ht="12.75">
      <c r="B72" s="1" t="s">
        <v>194</v>
      </c>
      <c r="C72" s="36">
        <f>C69+C71</f>
        <v>0.7158838503802627</v>
      </c>
      <c r="F72" s="1"/>
      <c r="G72" s="36"/>
    </row>
    <row r="73" spans="2:3" ht="13.5" thickBot="1">
      <c r="B73" s="1" t="s">
        <v>195</v>
      </c>
      <c r="C73" s="36">
        <f>NORMSINV(C72)</f>
        <v>0.5706568126318021</v>
      </c>
    </row>
    <row r="74" spans="2:3" ht="13.5" thickBot="1">
      <c r="B74" s="1" t="s">
        <v>196</v>
      </c>
      <c r="C74" s="151">
        <f>C56+C73*C58</f>
        <v>16.091305090021088</v>
      </c>
    </row>
    <row r="78" ht="12.75">
      <c r="C78" s="36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103"/>
  <sheetViews>
    <sheetView zoomScale="150" zoomScaleNormal="150" workbookViewId="0" topLeftCell="A37">
      <selection activeCell="C87" sqref="C87"/>
    </sheetView>
  </sheetViews>
  <sheetFormatPr defaultColWidth="11.00390625" defaultRowHeight="12.75"/>
  <cols>
    <col min="1" max="1" width="4.125" style="30" customWidth="1"/>
    <col min="2" max="2" width="24.375" style="1" customWidth="1"/>
    <col min="3" max="3" width="9.625" style="4" customWidth="1"/>
    <col min="4" max="8" width="9.625" style="1" customWidth="1"/>
    <col min="9" max="16384" width="10.75390625" style="1" customWidth="1"/>
  </cols>
  <sheetData>
    <row r="1" spans="1:6" ht="12.75">
      <c r="A1" s="159" t="s">
        <v>43</v>
      </c>
      <c r="B1" s="1" t="s">
        <v>44</v>
      </c>
      <c r="C1" s="4">
        <v>120</v>
      </c>
      <c r="D1" s="6"/>
      <c r="E1" s="6"/>
      <c r="F1" s="6"/>
    </row>
    <row r="2" spans="2:6" ht="12.75">
      <c r="B2" s="1" t="s">
        <v>45</v>
      </c>
      <c r="C2" s="2">
        <v>0.25</v>
      </c>
      <c r="D2" s="6"/>
      <c r="E2" s="6"/>
      <c r="F2" s="6"/>
    </row>
    <row r="3" spans="2:6" ht="12.75">
      <c r="B3" s="1" t="s">
        <v>37</v>
      </c>
      <c r="C3" s="2">
        <f>C1*C2</f>
        <v>30</v>
      </c>
      <c r="D3" s="6"/>
      <c r="E3" s="6"/>
      <c r="F3" s="6"/>
    </row>
    <row r="4" spans="2:6" ht="12.75">
      <c r="B4" s="1" t="s">
        <v>39</v>
      </c>
      <c r="C4" s="2">
        <f>C1*C2*(1-C2)</f>
        <v>22.5</v>
      </c>
      <c r="D4" s="6"/>
      <c r="E4" s="6"/>
      <c r="F4" s="6"/>
    </row>
    <row r="5" spans="2:4" ht="12.75">
      <c r="B5" s="4" t="s">
        <v>38</v>
      </c>
      <c r="C5" s="6">
        <f>SQRT(C4)</f>
        <v>4.743416490252569</v>
      </c>
      <c r="D5" s="6"/>
    </row>
    <row r="6" spans="1:4" ht="13.5" thickBot="1">
      <c r="A6" s="159"/>
      <c r="B6" s="4"/>
      <c r="D6" s="6"/>
    </row>
    <row r="7" spans="2:9" ht="12.75">
      <c r="B7" s="160" t="s">
        <v>46</v>
      </c>
      <c r="C7" s="161" t="s">
        <v>47</v>
      </c>
      <c r="D7" s="161" t="s">
        <v>48</v>
      </c>
      <c r="E7" s="57" t="s">
        <v>49</v>
      </c>
      <c r="F7" s="57" t="s">
        <v>50</v>
      </c>
      <c r="G7" s="57" t="s">
        <v>51</v>
      </c>
      <c r="H7" s="76" t="s">
        <v>100</v>
      </c>
      <c r="I7" s="168" t="s">
        <v>101</v>
      </c>
    </row>
    <row r="8" spans="1:9" ht="12.75">
      <c r="A8" s="1" t="s">
        <v>218</v>
      </c>
      <c r="B8" s="162">
        <v>29.5</v>
      </c>
      <c r="C8" s="162">
        <v>30.5</v>
      </c>
      <c r="D8" s="6">
        <f aca="true" t="shared" si="0" ref="D8:E11">(B8-$C$3)/$C$5</f>
        <v>-0.10540925533894598</v>
      </c>
      <c r="E8" s="6">
        <f t="shared" si="0"/>
        <v>0.10540925533894598</v>
      </c>
      <c r="F8" s="6">
        <f aca="true" t="shared" si="1" ref="F8:G11">NORMSDIST(D8)</f>
        <v>0.4580255361409482</v>
      </c>
      <c r="G8" s="6">
        <f t="shared" si="1"/>
        <v>0.5419744638590518</v>
      </c>
      <c r="H8" s="78">
        <f>G8-F8</f>
        <v>0.08394892771810358</v>
      </c>
      <c r="I8" s="165">
        <v>0.08385171464057431</v>
      </c>
    </row>
    <row r="9" spans="1:9" ht="12.75">
      <c r="A9" s="1" t="s">
        <v>220</v>
      </c>
      <c r="B9" s="162">
        <v>74.5</v>
      </c>
      <c r="C9" s="162">
        <v>75.5</v>
      </c>
      <c r="D9" s="6">
        <f t="shared" si="0"/>
        <v>9.381423725166192</v>
      </c>
      <c r="E9" s="6">
        <f t="shared" si="0"/>
        <v>9.592242235844084</v>
      </c>
      <c r="F9" s="6">
        <f t="shared" si="1"/>
        <v>1</v>
      </c>
      <c r="G9" s="6">
        <f t="shared" si="1"/>
        <v>1</v>
      </c>
      <c r="H9" s="78">
        <f>G9-F9</f>
        <v>0</v>
      </c>
      <c r="I9" s="165">
        <v>0</v>
      </c>
    </row>
    <row r="10" spans="1:9" ht="12.75">
      <c r="A10" s="1" t="s">
        <v>16</v>
      </c>
      <c r="B10" s="162">
        <v>24.5</v>
      </c>
      <c r="C10" s="162">
        <v>30.5</v>
      </c>
      <c r="D10" s="6">
        <f t="shared" si="0"/>
        <v>-1.1595018087284057</v>
      </c>
      <c r="E10" s="6">
        <f t="shared" si="0"/>
        <v>0.10540925533894598</v>
      </c>
      <c r="F10" s="6">
        <f t="shared" si="1"/>
        <v>0.12312584984626362</v>
      </c>
      <c r="G10" s="6">
        <f t="shared" si="1"/>
        <v>0.5419744638590518</v>
      </c>
      <c r="H10" s="78">
        <f>G10-F10</f>
        <v>0.41884861401278817</v>
      </c>
      <c r="I10" s="165">
        <v>0.42719183746779177</v>
      </c>
    </row>
    <row r="11" spans="1:9" ht="13.5" thickBot="1">
      <c r="A11" s="1" t="s">
        <v>18</v>
      </c>
      <c r="B11" s="162">
        <v>31.5</v>
      </c>
      <c r="C11" s="162">
        <v>37.5</v>
      </c>
      <c r="D11" s="6">
        <f t="shared" si="0"/>
        <v>0.31622776601683794</v>
      </c>
      <c r="E11" s="6">
        <f t="shared" si="0"/>
        <v>1.5811388300841895</v>
      </c>
      <c r="F11" s="6">
        <f t="shared" si="1"/>
        <v>0.6240851829770754</v>
      </c>
      <c r="G11" s="6">
        <f t="shared" si="1"/>
        <v>0.9430768509966709</v>
      </c>
      <c r="H11" s="166">
        <f>G11-F11</f>
        <v>0.31899166801959555</v>
      </c>
      <c r="I11" s="167">
        <v>0.3104450317843335</v>
      </c>
    </row>
    <row r="12" spans="1:4" ht="12.75">
      <c r="A12" s="159"/>
      <c r="C12" s="2"/>
      <c r="D12" s="4"/>
    </row>
    <row r="13" spans="1:9" ht="12.75">
      <c r="A13" s="159"/>
      <c r="C13" s="6"/>
      <c r="I13" s="6"/>
    </row>
    <row r="14" spans="1:9" ht="12.75">
      <c r="A14" s="159" t="s">
        <v>52</v>
      </c>
      <c r="C14" s="6"/>
      <c r="D14" s="6"/>
      <c r="E14" s="4"/>
      <c r="I14" s="6"/>
    </row>
    <row r="15" spans="1:9" ht="12.75">
      <c r="A15" s="159"/>
      <c r="B15" s="1" t="s">
        <v>64</v>
      </c>
      <c r="C15" s="6">
        <v>1.5</v>
      </c>
      <c r="D15" s="6"/>
      <c r="E15" s="4"/>
      <c r="I15" s="6"/>
    </row>
    <row r="16" spans="1:9" ht="12.75">
      <c r="A16" s="159"/>
      <c r="B16" s="1" t="s">
        <v>132</v>
      </c>
      <c r="C16" s="6">
        <f>C15^2</f>
        <v>2.25</v>
      </c>
      <c r="D16" s="6"/>
      <c r="E16" s="4"/>
      <c r="I16" s="6"/>
    </row>
    <row r="17" spans="1:9" ht="12.75">
      <c r="A17" s="159"/>
      <c r="B17" s="1" t="s">
        <v>133</v>
      </c>
      <c r="C17" s="4">
        <v>50</v>
      </c>
      <c r="D17" s="6"/>
      <c r="E17" s="4"/>
      <c r="I17" s="6"/>
    </row>
    <row r="18" spans="1:9" ht="12.75">
      <c r="A18" s="159"/>
      <c r="B18" s="1" t="s">
        <v>134</v>
      </c>
      <c r="C18" s="4">
        <v>10</v>
      </c>
      <c r="D18" s="6"/>
      <c r="E18" s="4"/>
      <c r="I18" s="6"/>
    </row>
    <row r="19" spans="1:5" ht="12.75">
      <c r="A19" s="159"/>
      <c r="B19" s="1" t="s">
        <v>137</v>
      </c>
      <c r="C19" s="6">
        <v>0.1</v>
      </c>
      <c r="D19" s="6"/>
      <c r="E19" s="4"/>
    </row>
    <row r="20" spans="1:9" ht="12.75">
      <c r="A20" s="159"/>
      <c r="B20" s="1" t="s">
        <v>138</v>
      </c>
      <c r="C20" s="6">
        <f>NORMSINV(1-C19)</f>
        <v>1.2815515655446004</v>
      </c>
      <c r="D20" s="6"/>
      <c r="E20" s="4"/>
      <c r="I20" s="6"/>
    </row>
    <row r="21" spans="1:5" ht="12.75">
      <c r="A21" s="159"/>
      <c r="C21" s="6"/>
      <c r="D21" s="6"/>
      <c r="E21" s="4"/>
    </row>
    <row r="22" spans="1:2" ht="13.5">
      <c r="A22" s="1" t="s">
        <v>218</v>
      </c>
      <c r="B22" s="164" t="s">
        <v>235</v>
      </c>
    </row>
    <row r="23" spans="2:3" ht="12.75">
      <c r="B23" s="30" t="s">
        <v>53</v>
      </c>
      <c r="C23" s="33" t="s">
        <v>54</v>
      </c>
    </row>
    <row r="24" spans="2:8" ht="12.75">
      <c r="B24" s="30" t="s">
        <v>55</v>
      </c>
      <c r="C24" s="13" t="s">
        <v>56</v>
      </c>
      <c r="D24" s="6"/>
      <c r="E24" s="6"/>
      <c r="F24" s="6"/>
      <c r="G24" s="6"/>
      <c r="H24" s="6"/>
    </row>
    <row r="25" spans="2:6" ht="12.75">
      <c r="B25" s="36" t="s">
        <v>57</v>
      </c>
      <c r="C25" s="13" t="s">
        <v>58</v>
      </c>
      <c r="D25" s="4"/>
      <c r="E25" s="8"/>
      <c r="F25" s="8"/>
    </row>
    <row r="26" spans="2:6" ht="12.75">
      <c r="B26" s="30" t="s">
        <v>127</v>
      </c>
      <c r="C26" s="13"/>
      <c r="D26" s="4"/>
      <c r="E26" s="8"/>
      <c r="F26" s="8"/>
    </row>
    <row r="27" spans="2:6" ht="12.75">
      <c r="B27" s="1" t="s">
        <v>128</v>
      </c>
      <c r="C27" s="33">
        <v>0</v>
      </c>
      <c r="D27" s="4"/>
      <c r="E27" s="8"/>
      <c r="F27" s="8"/>
    </row>
    <row r="28" spans="1:6" ht="12.75">
      <c r="A28" s="159"/>
      <c r="B28" s="6" t="s">
        <v>102</v>
      </c>
      <c r="C28" s="13" t="s">
        <v>130</v>
      </c>
      <c r="D28" s="4"/>
      <c r="E28" s="8"/>
      <c r="F28" s="8"/>
    </row>
    <row r="29" spans="3:6" ht="12.75">
      <c r="C29" s="163" t="s">
        <v>131</v>
      </c>
      <c r="D29" s="13"/>
      <c r="E29" s="8"/>
      <c r="F29" s="8"/>
    </row>
    <row r="30" spans="2:5" ht="12.75">
      <c r="B30" s="6" t="s">
        <v>102</v>
      </c>
      <c r="C30" s="43">
        <f>C16/C18+C16/C17</f>
        <v>0.27</v>
      </c>
      <c r="E30" s="8"/>
    </row>
    <row r="31" spans="2:3" ht="12.75">
      <c r="B31" s="1" t="s">
        <v>135</v>
      </c>
      <c r="C31" s="13">
        <f>SQRT(C30)</f>
        <v>0.5196152422706632</v>
      </c>
    </row>
    <row r="32" spans="1:6" ht="12.75">
      <c r="A32" s="159"/>
      <c r="B32" s="1" t="s">
        <v>136</v>
      </c>
      <c r="C32" s="30" t="s">
        <v>236</v>
      </c>
      <c r="E32" s="30"/>
      <c r="F32" s="30"/>
    </row>
    <row r="33" spans="1:6" ht="12.75">
      <c r="A33" s="159"/>
      <c r="B33" s="1" t="s">
        <v>136</v>
      </c>
      <c r="C33" s="36">
        <f>C27+C20*C31</f>
        <v>0.6659137272128053</v>
      </c>
      <c r="E33" s="30"/>
      <c r="F33" s="30"/>
    </row>
    <row r="34" spans="1:6" ht="12.75">
      <c r="A34" s="159"/>
      <c r="B34" s="1" t="s">
        <v>65</v>
      </c>
      <c r="C34" s="36" t="s">
        <v>66</v>
      </c>
      <c r="E34" s="30"/>
      <c r="F34" s="36">
        <f>C33</f>
        <v>0.6659137272128053</v>
      </c>
    </row>
    <row r="35" spans="1:6" ht="12.75">
      <c r="A35" s="159"/>
      <c r="C35" s="36"/>
      <c r="E35" s="30"/>
      <c r="F35" s="30"/>
    </row>
    <row r="36" spans="1:6" ht="13.5">
      <c r="A36" s="159"/>
      <c r="B36" s="164" t="s">
        <v>234</v>
      </c>
      <c r="C36" s="36"/>
      <c r="E36" s="30"/>
      <c r="F36" s="30"/>
    </row>
    <row r="37" spans="2:3" ht="12.75">
      <c r="B37" s="1" t="s">
        <v>139</v>
      </c>
      <c r="C37" s="36">
        <v>10.3</v>
      </c>
    </row>
    <row r="38" spans="2:3" ht="13.5" thickBot="1">
      <c r="B38" s="1" t="s">
        <v>140</v>
      </c>
      <c r="C38" s="36">
        <v>13.2</v>
      </c>
    </row>
    <row r="39" spans="2:8" ht="12.75">
      <c r="B39" s="5" t="s">
        <v>73</v>
      </c>
      <c r="C39" s="169">
        <f>C38-C37</f>
        <v>2.8999999999999986</v>
      </c>
      <c r="D39" s="2"/>
      <c r="E39" s="2"/>
      <c r="F39" s="2"/>
      <c r="G39" s="2"/>
      <c r="H39" s="2"/>
    </row>
    <row r="40" spans="2:3" ht="12.75">
      <c r="B40" s="71" t="s">
        <v>136</v>
      </c>
      <c r="C40" s="170">
        <f>C33</f>
        <v>0.6659137272128053</v>
      </c>
    </row>
    <row r="41" spans="2:4" ht="13.5" thickBot="1">
      <c r="B41" s="73" t="s">
        <v>67</v>
      </c>
      <c r="C41" s="44" t="s">
        <v>78</v>
      </c>
      <c r="D41" s="30"/>
    </row>
    <row r="42" spans="3:4" ht="12.75">
      <c r="C42" s="36"/>
      <c r="D42" s="30"/>
    </row>
    <row r="43" spans="1:4" ht="12.75">
      <c r="A43" s="1" t="s">
        <v>220</v>
      </c>
      <c r="B43" s="1" t="s">
        <v>68</v>
      </c>
      <c r="C43" s="33">
        <v>80</v>
      </c>
      <c r="D43" s="30"/>
    </row>
    <row r="44" spans="2:3" ht="12.75">
      <c r="B44" s="1" t="s">
        <v>69</v>
      </c>
      <c r="C44" s="36">
        <f>NORMSINV(1-((100-C43)/200))</f>
        <v>1.2815515655446004</v>
      </c>
    </row>
    <row r="45" spans="2:4" ht="13.5" thickBot="1">
      <c r="B45" s="1" t="s">
        <v>72</v>
      </c>
      <c r="C45" s="36">
        <f>C31</f>
        <v>0.5196152422706632</v>
      </c>
      <c r="D45" s="30" t="s">
        <v>74</v>
      </c>
    </row>
    <row r="46" spans="2:3" ht="12.75">
      <c r="B46" s="5" t="s">
        <v>70</v>
      </c>
      <c r="C46" s="169">
        <f>C39</f>
        <v>2.8999999999999986</v>
      </c>
    </row>
    <row r="47" spans="2:3" ht="13.5" thickBot="1">
      <c r="B47" s="73" t="s">
        <v>71</v>
      </c>
      <c r="C47" s="44">
        <f>C44*C45</f>
        <v>0.6659137272128053</v>
      </c>
    </row>
    <row r="48" ht="12.75">
      <c r="C48" s="33"/>
    </row>
    <row r="49" ht="12.75">
      <c r="C49" s="33"/>
    </row>
    <row r="50" spans="1:3" ht="12.75">
      <c r="A50" s="159" t="s">
        <v>75</v>
      </c>
      <c r="B50" s="30" t="s">
        <v>229</v>
      </c>
      <c r="C50" s="33"/>
    </row>
    <row r="51" spans="2:4" ht="12.75">
      <c r="B51" s="1" t="s">
        <v>128</v>
      </c>
      <c r="C51" s="36">
        <v>1</v>
      </c>
      <c r="D51" s="30"/>
    </row>
    <row r="52" spans="2:4" ht="12.75">
      <c r="B52" s="1" t="s">
        <v>135</v>
      </c>
      <c r="C52" s="36">
        <f>C31</f>
        <v>0.5196152422706632</v>
      </c>
      <c r="D52" s="30" t="s">
        <v>74</v>
      </c>
    </row>
    <row r="53" spans="2:4" ht="12.75">
      <c r="B53" s="1" t="s">
        <v>136</v>
      </c>
      <c r="C53" s="36">
        <f>C33</f>
        <v>0.6659137272128053</v>
      </c>
      <c r="D53" s="30" t="s">
        <v>230</v>
      </c>
    </row>
    <row r="54" spans="2:3" ht="13.5" thickBot="1">
      <c r="B54" s="1" t="s">
        <v>231</v>
      </c>
      <c r="C54" s="36">
        <f>(C53-C51)/C52</f>
        <v>-0.6429493317541519</v>
      </c>
    </row>
    <row r="55" spans="2:3" ht="12.75">
      <c r="B55" s="5" t="s">
        <v>232</v>
      </c>
      <c r="C55" s="169">
        <f>NORMSDIST(C54)</f>
        <v>0.2601284888775497</v>
      </c>
    </row>
    <row r="56" spans="2:3" ht="13.5" thickBot="1">
      <c r="B56" s="166" t="s">
        <v>233</v>
      </c>
      <c r="C56" s="44">
        <f>1-C55</f>
        <v>0.7398715111224503</v>
      </c>
    </row>
    <row r="57" ht="12.75">
      <c r="C57" s="33"/>
    </row>
    <row r="58" ht="12.75">
      <c r="C58" s="33"/>
    </row>
    <row r="59" ht="12.75">
      <c r="A59" s="159" t="s">
        <v>79</v>
      </c>
    </row>
    <row r="60" spans="1:5" ht="12.75">
      <c r="A60" s="159"/>
      <c r="B60" s="1" t="s">
        <v>64</v>
      </c>
      <c r="C60" s="6">
        <v>1.5</v>
      </c>
      <c r="D60" s="6"/>
      <c r="E60" s="4"/>
    </row>
    <row r="61" spans="1:5" ht="12.75">
      <c r="A61" s="159"/>
      <c r="B61" s="1" t="s">
        <v>132</v>
      </c>
      <c r="C61" s="6">
        <f>C60^2</f>
        <v>2.25</v>
      </c>
      <c r="D61" s="6"/>
      <c r="E61" s="4"/>
    </row>
    <row r="62" spans="1:5" ht="12.75">
      <c r="A62" s="159"/>
      <c r="B62" s="1" t="s">
        <v>133</v>
      </c>
      <c r="C62" s="6">
        <v>50</v>
      </c>
      <c r="D62" s="6"/>
      <c r="E62" s="4"/>
    </row>
    <row r="63" spans="1:5" ht="12.75">
      <c r="A63" s="159"/>
      <c r="B63" s="1" t="s">
        <v>134</v>
      </c>
      <c r="C63" s="6">
        <v>10</v>
      </c>
      <c r="D63" s="6"/>
      <c r="E63" s="4"/>
    </row>
    <row r="64" spans="1:5" ht="12.75">
      <c r="A64" s="159"/>
      <c r="B64" s="1" t="s">
        <v>137</v>
      </c>
      <c r="C64" s="6">
        <v>0.1</v>
      </c>
      <c r="D64" s="6"/>
      <c r="E64" s="4"/>
    </row>
    <row r="65" spans="1:5" ht="12.75">
      <c r="A65" s="159"/>
      <c r="B65" s="1" t="s">
        <v>138</v>
      </c>
      <c r="C65" s="6">
        <f>NORMSINV(1-C64)</f>
        <v>1.2815515655446004</v>
      </c>
      <c r="D65" s="6"/>
      <c r="E65" s="4"/>
    </row>
    <row r="66" spans="1:5" ht="12.75">
      <c r="A66" s="159"/>
      <c r="C66" s="6"/>
      <c r="D66" s="6"/>
      <c r="E66" s="4"/>
    </row>
    <row r="67" spans="1:2" ht="15" thickBot="1">
      <c r="A67" s="1" t="s">
        <v>218</v>
      </c>
      <c r="B67" s="164" t="s">
        <v>235</v>
      </c>
    </row>
    <row r="68" spans="2:4" ht="12.75">
      <c r="B68" s="30" t="s">
        <v>53</v>
      </c>
      <c r="C68" s="171" t="s">
        <v>77</v>
      </c>
      <c r="D68" s="64"/>
    </row>
    <row r="69" spans="2:8" ht="13.5" thickBot="1">
      <c r="B69" s="30" t="s">
        <v>55</v>
      </c>
      <c r="C69" s="172" t="s">
        <v>76</v>
      </c>
      <c r="D69" s="167"/>
      <c r="E69" s="6"/>
      <c r="F69" s="6"/>
      <c r="G69" s="6"/>
      <c r="H69" s="6"/>
    </row>
    <row r="70" spans="2:6" ht="12.75">
      <c r="B70" s="36" t="s">
        <v>57</v>
      </c>
      <c r="C70" s="13" t="s">
        <v>58</v>
      </c>
      <c r="D70" s="4"/>
      <c r="E70" s="8"/>
      <c r="F70" s="8"/>
    </row>
    <row r="71" spans="2:6" ht="12.75">
      <c r="B71" s="30" t="s">
        <v>127</v>
      </c>
      <c r="C71" s="13"/>
      <c r="D71" s="4"/>
      <c r="E71" s="8"/>
      <c r="F71" s="8"/>
    </row>
    <row r="72" spans="2:6" ht="12.75">
      <c r="B72" s="1" t="s">
        <v>128</v>
      </c>
      <c r="C72" s="33">
        <v>2</v>
      </c>
      <c r="D72" s="4"/>
      <c r="E72" s="8"/>
      <c r="F72" s="8"/>
    </row>
    <row r="73" spans="1:6" ht="12.75">
      <c r="A73" s="159"/>
      <c r="B73" s="6" t="s">
        <v>129</v>
      </c>
      <c r="C73" s="13" t="s">
        <v>130</v>
      </c>
      <c r="D73" s="4"/>
      <c r="E73" s="8"/>
      <c r="F73" s="8"/>
    </row>
    <row r="74" spans="3:6" ht="12.75">
      <c r="C74" s="163" t="s">
        <v>131</v>
      </c>
      <c r="D74" s="13"/>
      <c r="E74" s="8"/>
      <c r="F74" s="8"/>
    </row>
    <row r="75" spans="2:5" ht="12.75">
      <c r="B75" s="6" t="s">
        <v>129</v>
      </c>
      <c r="C75" s="43">
        <f>C61/C63+C61/C62</f>
        <v>0.27</v>
      </c>
      <c r="E75" s="8"/>
    </row>
    <row r="76" spans="2:3" ht="12.75">
      <c r="B76" s="1" t="s">
        <v>135</v>
      </c>
      <c r="C76" s="13">
        <f>SQRT(C75)</f>
        <v>0.5196152422706632</v>
      </c>
    </row>
    <row r="77" spans="1:6" ht="12.75">
      <c r="A77" s="159"/>
      <c r="B77" s="1" t="s">
        <v>136</v>
      </c>
      <c r="C77" s="30" t="s">
        <v>236</v>
      </c>
      <c r="E77" s="30"/>
      <c r="F77" s="30"/>
    </row>
    <row r="78" spans="1:6" ht="12.75">
      <c r="A78" s="159"/>
      <c r="B78" s="1" t="s">
        <v>136</v>
      </c>
      <c r="C78" s="36">
        <f>C72+C65*C76</f>
        <v>2.6659137272128053</v>
      </c>
      <c r="E78" s="30"/>
      <c r="F78" s="30"/>
    </row>
    <row r="79" spans="1:6" ht="12.75">
      <c r="A79" s="159"/>
      <c r="B79" s="1" t="s">
        <v>65</v>
      </c>
      <c r="C79" s="36" t="s">
        <v>66</v>
      </c>
      <c r="E79" s="30"/>
      <c r="F79" s="36">
        <f>C78</f>
        <v>2.6659137272128053</v>
      </c>
    </row>
    <row r="80" spans="1:6" ht="12.75">
      <c r="A80" s="159"/>
      <c r="C80" s="36"/>
      <c r="E80" s="30"/>
      <c r="F80" s="30"/>
    </row>
    <row r="81" spans="1:6" ht="13.5">
      <c r="A81" s="159"/>
      <c r="B81" s="164" t="s">
        <v>234</v>
      </c>
      <c r="C81" s="36"/>
      <c r="E81" s="30"/>
      <c r="F81" s="30"/>
    </row>
    <row r="82" spans="2:3" ht="12.75">
      <c r="B82" s="1" t="s">
        <v>139</v>
      </c>
      <c r="C82" s="36">
        <v>10.3</v>
      </c>
    </row>
    <row r="83" spans="2:3" ht="12.75">
      <c r="B83" s="1" t="s">
        <v>140</v>
      </c>
      <c r="C83" s="36">
        <v>13.2</v>
      </c>
    </row>
    <row r="84" spans="2:8" ht="12.75">
      <c r="B84" s="1" t="s">
        <v>73</v>
      </c>
      <c r="C84" s="36">
        <f>C83-C82</f>
        <v>2.8999999999999986</v>
      </c>
      <c r="D84" s="2"/>
      <c r="E84" s="2"/>
      <c r="F84" s="2"/>
      <c r="G84" s="2"/>
      <c r="H84" s="2"/>
    </row>
    <row r="85" spans="2:3" ht="12.75">
      <c r="B85" s="1" t="s">
        <v>136</v>
      </c>
      <c r="C85" s="36">
        <f>C78</f>
        <v>2.6659137272128053</v>
      </c>
    </row>
    <row r="86" spans="2:4" ht="12.75">
      <c r="B86" s="1" t="s">
        <v>67</v>
      </c>
      <c r="C86" s="36" t="s">
        <v>78</v>
      </c>
      <c r="D86" s="30"/>
    </row>
    <row r="87" spans="2:5" ht="12.75">
      <c r="B87" s="6"/>
      <c r="C87" s="6"/>
      <c r="D87" s="6"/>
      <c r="E87" s="6"/>
    </row>
    <row r="90" spans="2:6" ht="12.75">
      <c r="B90" s="4"/>
      <c r="D90" s="6"/>
      <c r="E90" s="6"/>
      <c r="F90" s="6"/>
    </row>
    <row r="92" ht="12.75">
      <c r="C92" s="33"/>
    </row>
    <row r="93" ht="12.75">
      <c r="C93" s="33"/>
    </row>
    <row r="97" ht="12.75">
      <c r="B97" s="30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24"/>
  <sheetViews>
    <sheetView tabSelected="1" zoomScale="125" zoomScaleNormal="125" workbookViewId="0" topLeftCell="A54">
      <selection activeCell="H64" sqref="H64"/>
    </sheetView>
  </sheetViews>
  <sheetFormatPr defaultColWidth="11.00390625" defaultRowHeight="12.75"/>
  <cols>
    <col min="1" max="1" width="4.375" style="4" customWidth="1"/>
    <col min="2" max="2" width="24.875" style="33" customWidth="1"/>
    <col min="3" max="3" width="11.125" style="4" bestFit="1" customWidth="1"/>
    <col min="4" max="16384" width="10.75390625" style="4" customWidth="1"/>
  </cols>
  <sheetData>
    <row r="1" ht="13.5" thickBot="1">
      <c r="A1" s="173" t="s">
        <v>43</v>
      </c>
    </row>
    <row r="2" spans="1:5" ht="13.5" thickBot="1">
      <c r="A2" s="4" t="s">
        <v>218</v>
      </c>
      <c r="B2" s="183" t="s">
        <v>162</v>
      </c>
      <c r="C2" s="184"/>
      <c r="D2" s="185"/>
      <c r="E2" s="34"/>
    </row>
    <row r="3" spans="1:5" ht="12.75">
      <c r="A3" s="29"/>
      <c r="C3" s="10"/>
      <c r="D3" s="10"/>
      <c r="E3" s="10"/>
    </row>
    <row r="4" spans="1:5" ht="13.5" thickBot="1">
      <c r="A4" s="4" t="s">
        <v>220</v>
      </c>
      <c r="B4" s="33" t="s">
        <v>163</v>
      </c>
      <c r="C4" s="34"/>
      <c r="D4" s="34"/>
      <c r="E4" s="34"/>
    </row>
    <row r="5" spans="2:5" ht="13.5" thickBot="1">
      <c r="B5" s="173" t="s">
        <v>80</v>
      </c>
      <c r="C5" s="182">
        <f>(1/2)+(1/3)-(1/2)*(1/3)</f>
        <v>0.6666666666666666</v>
      </c>
      <c r="D5" s="10"/>
      <c r="E5" s="10"/>
    </row>
    <row r="6" spans="1:5" ht="12.75">
      <c r="A6" s="33"/>
      <c r="C6" s="34"/>
      <c r="D6" s="34"/>
      <c r="E6" s="34"/>
    </row>
    <row r="7" spans="1:5" ht="12.75">
      <c r="A7" s="33"/>
      <c r="C7" s="34"/>
      <c r="D7" s="34"/>
      <c r="E7" s="34"/>
    </row>
    <row r="8" spans="1:5" ht="13.5" thickBot="1">
      <c r="A8" s="173" t="s">
        <v>52</v>
      </c>
      <c r="C8" s="10"/>
      <c r="D8" s="10"/>
      <c r="E8" s="10"/>
    </row>
    <row r="9" spans="1:7" ht="12.75">
      <c r="A9" s="4" t="s">
        <v>218</v>
      </c>
      <c r="B9" s="186"/>
      <c r="C9" s="187" t="s">
        <v>164</v>
      </c>
      <c r="D9" s="187" t="s">
        <v>251</v>
      </c>
      <c r="E9" s="187" t="s">
        <v>252</v>
      </c>
      <c r="F9" s="187" t="s">
        <v>165</v>
      </c>
      <c r="G9" s="188"/>
    </row>
    <row r="10" spans="2:9" ht="12.75">
      <c r="B10" s="189" t="s">
        <v>166</v>
      </c>
      <c r="C10" s="174">
        <f>0.1*G10</f>
        <v>0.06</v>
      </c>
      <c r="D10" s="174">
        <f>$G$10*0.3</f>
        <v>0.18</v>
      </c>
      <c r="E10" s="174">
        <f>$G$10*0.3</f>
        <v>0.18</v>
      </c>
      <c r="F10" s="174">
        <f>$G$10*0.3</f>
        <v>0.18</v>
      </c>
      <c r="G10" s="190">
        <v>0.6</v>
      </c>
      <c r="I10" s="6"/>
    </row>
    <row r="11" spans="2:9" ht="12.75">
      <c r="B11" s="189" t="s">
        <v>167</v>
      </c>
      <c r="C11" s="175">
        <f>0.2*$G$11</f>
        <v>0.08000000000000002</v>
      </c>
      <c r="D11" s="174">
        <f>0.4*G11</f>
        <v>0.16000000000000003</v>
      </c>
      <c r="E11" s="175">
        <f>0.2*$G$11</f>
        <v>0.08000000000000002</v>
      </c>
      <c r="F11" s="175">
        <f>0.2*$G$11</f>
        <v>0.08000000000000002</v>
      </c>
      <c r="G11" s="190">
        <f>1-G10</f>
        <v>0.4</v>
      </c>
      <c r="I11" s="6"/>
    </row>
    <row r="12" spans="2:7" ht="13.5" thickBot="1">
      <c r="B12" s="191"/>
      <c r="C12" s="192">
        <f>C10+C11</f>
        <v>0.14</v>
      </c>
      <c r="D12" s="192">
        <f>D10+D11</f>
        <v>0.34</v>
      </c>
      <c r="E12" s="192">
        <f>E10+E11</f>
        <v>0.26</v>
      </c>
      <c r="F12" s="192">
        <f>F10+F11</f>
        <v>0.26</v>
      </c>
      <c r="G12" s="193">
        <f>G10+G11</f>
        <v>1</v>
      </c>
    </row>
    <row r="13" spans="3:4" ht="13.5" thickBot="1">
      <c r="C13" s="6"/>
      <c r="D13" s="2"/>
    </row>
    <row r="14" spans="1:4" ht="13.5" thickBot="1">
      <c r="A14" s="4" t="s">
        <v>220</v>
      </c>
      <c r="B14" s="151">
        <f>C12</f>
        <v>0.14</v>
      </c>
      <c r="D14" s="2"/>
    </row>
    <row r="15" spans="2:3" ht="13.5" thickBot="1">
      <c r="B15" s="36"/>
      <c r="C15" s="6"/>
    </row>
    <row r="16" spans="1:2" ht="13.5" thickBot="1">
      <c r="A16" s="4" t="s">
        <v>16</v>
      </c>
      <c r="B16" s="151">
        <f>C10</f>
        <v>0.06</v>
      </c>
    </row>
    <row r="17" spans="2:3" ht="13.5" thickBot="1">
      <c r="B17" s="36"/>
      <c r="C17" s="6"/>
    </row>
    <row r="18" spans="1:2" ht="13.5" thickBot="1">
      <c r="A18" s="4" t="s">
        <v>18</v>
      </c>
      <c r="B18" s="151">
        <f>F11/F12</f>
        <v>0.30769230769230776</v>
      </c>
    </row>
    <row r="19" spans="2:3" ht="13.5" thickBot="1">
      <c r="B19" s="36"/>
      <c r="C19" s="6"/>
    </row>
    <row r="20" spans="1:2" ht="13.5" thickBot="1">
      <c r="A20" s="4" t="s">
        <v>20</v>
      </c>
      <c r="B20" s="151">
        <f>C12</f>
        <v>0.14</v>
      </c>
    </row>
    <row r="21" ht="13.5" thickBot="1"/>
    <row r="22" spans="1:7" ht="12.75">
      <c r="A22" s="4" t="s">
        <v>21</v>
      </c>
      <c r="B22" s="186"/>
      <c r="C22" s="187" t="s">
        <v>164</v>
      </c>
      <c r="D22" s="187" t="s">
        <v>251</v>
      </c>
      <c r="E22" s="187" t="s">
        <v>207</v>
      </c>
      <c r="F22" s="187" t="s">
        <v>165</v>
      </c>
      <c r="G22" s="188"/>
    </row>
    <row r="23" spans="2:7" ht="12.75">
      <c r="B23" s="189" t="s">
        <v>166</v>
      </c>
      <c r="C23" s="174">
        <f>C$25*$G23</f>
        <v>0.15</v>
      </c>
      <c r="D23" s="174">
        <f aca="true" t="shared" si="0" ref="D23:F24">D$25*$G23</f>
        <v>0.15</v>
      </c>
      <c r="E23" s="174">
        <f t="shared" si="0"/>
        <v>0.15</v>
      </c>
      <c r="F23" s="174">
        <f t="shared" si="0"/>
        <v>0.15</v>
      </c>
      <c r="G23" s="190">
        <v>0.6</v>
      </c>
    </row>
    <row r="24" spans="2:7" ht="12.75">
      <c r="B24" s="189" t="s">
        <v>167</v>
      </c>
      <c r="C24" s="174">
        <f>C$25*$G24</f>
        <v>0.1</v>
      </c>
      <c r="D24" s="174">
        <f t="shared" si="0"/>
        <v>0.1</v>
      </c>
      <c r="E24" s="174">
        <f t="shared" si="0"/>
        <v>0.1</v>
      </c>
      <c r="F24" s="174">
        <f t="shared" si="0"/>
        <v>0.1</v>
      </c>
      <c r="G24" s="190">
        <f>1-G23</f>
        <v>0.4</v>
      </c>
    </row>
    <row r="25" spans="2:7" ht="13.5" thickBot="1">
      <c r="B25" s="191"/>
      <c r="C25" s="192">
        <v>0.25</v>
      </c>
      <c r="D25" s="192">
        <v>0.25</v>
      </c>
      <c r="E25" s="192">
        <v>0.25</v>
      </c>
      <c r="F25" s="192">
        <v>0.25</v>
      </c>
      <c r="G25" s="193">
        <f>G23+G24</f>
        <v>1</v>
      </c>
    </row>
    <row r="26" spans="3:5" ht="12.75">
      <c r="C26" s="6"/>
      <c r="E26" s="2"/>
    </row>
    <row r="27" spans="3:5" ht="12.75">
      <c r="C27" s="6"/>
      <c r="E27" s="2"/>
    </row>
    <row r="28" ht="13.5" thickBot="1">
      <c r="A28" s="173" t="s">
        <v>75</v>
      </c>
    </row>
    <row r="29" spans="1:8" ht="12.75">
      <c r="A29" s="4" t="s">
        <v>218</v>
      </c>
      <c r="B29" s="171" t="s">
        <v>1</v>
      </c>
      <c r="C29" s="194"/>
      <c r="D29" s="194"/>
      <c r="E29" s="194"/>
      <c r="F29" s="194"/>
      <c r="G29" s="194"/>
      <c r="H29" s="195"/>
    </row>
    <row r="30" spans="2:8" ht="12.75">
      <c r="B30" s="196" t="s">
        <v>4</v>
      </c>
      <c r="C30" s="6" t="s">
        <v>0</v>
      </c>
      <c r="D30" s="2"/>
      <c r="E30" s="2"/>
      <c r="F30" s="2"/>
      <c r="H30" s="197"/>
    </row>
    <row r="31" spans="2:9" ht="12.75">
      <c r="B31" s="196">
        <v>0</v>
      </c>
      <c r="C31" s="6">
        <v>0</v>
      </c>
      <c r="D31" s="2"/>
      <c r="E31" s="13"/>
      <c r="H31" s="165"/>
      <c r="I31" s="6"/>
    </row>
    <row r="32" spans="2:9" ht="12.75">
      <c r="B32" s="196">
        <v>5</v>
      </c>
      <c r="C32" s="6">
        <v>0</v>
      </c>
      <c r="D32" s="6"/>
      <c r="E32" s="33"/>
      <c r="H32" s="165"/>
      <c r="I32" s="6"/>
    </row>
    <row r="33" spans="2:9" ht="12.75">
      <c r="B33" s="196">
        <v>5</v>
      </c>
      <c r="C33" s="6">
        <v>0.2</v>
      </c>
      <c r="D33" s="6"/>
      <c r="E33" s="13"/>
      <c r="H33" s="165"/>
      <c r="I33" s="6"/>
    </row>
    <row r="34" spans="2:9" ht="12.75">
      <c r="B34" s="196">
        <v>10</v>
      </c>
      <c r="C34" s="6">
        <v>0.2</v>
      </c>
      <c r="D34" s="2"/>
      <c r="E34" s="33"/>
      <c r="H34" s="198"/>
      <c r="I34" s="2"/>
    </row>
    <row r="35" spans="2:8" ht="12.75">
      <c r="B35" s="196">
        <v>10</v>
      </c>
      <c r="C35" s="6">
        <v>0</v>
      </c>
      <c r="D35" s="33"/>
      <c r="H35" s="197"/>
    </row>
    <row r="36" spans="2:8" ht="12.75">
      <c r="B36" s="196">
        <v>15</v>
      </c>
      <c r="C36" s="6">
        <v>0</v>
      </c>
      <c r="D36" s="33"/>
      <c r="H36" s="197"/>
    </row>
    <row r="37" spans="2:8" ht="12.75">
      <c r="B37" s="199"/>
      <c r="H37" s="197"/>
    </row>
    <row r="38" spans="2:8" ht="13.5" thickBot="1">
      <c r="B38" s="200"/>
      <c r="C38" s="201"/>
      <c r="D38" s="201"/>
      <c r="E38" s="201"/>
      <c r="F38" s="201"/>
      <c r="G38" s="201"/>
      <c r="H38" s="202"/>
    </row>
    <row r="40" spans="1:2" ht="13.5" thickBot="1">
      <c r="A40" s="6" t="s">
        <v>220</v>
      </c>
      <c r="B40" s="173" t="s">
        <v>2</v>
      </c>
    </row>
    <row r="41" spans="2:3" ht="13.5" thickBot="1">
      <c r="B41" s="173" t="s">
        <v>3</v>
      </c>
      <c r="C41" s="157">
        <f>0.5*0.2</f>
        <v>0.1</v>
      </c>
    </row>
    <row r="42" spans="1:3" ht="13.5" thickBot="1">
      <c r="A42" s="33"/>
      <c r="C42" s="6"/>
    </row>
    <row r="43" spans="1:8" ht="12.75">
      <c r="A43" s="4" t="s">
        <v>16</v>
      </c>
      <c r="B43" s="171" t="s">
        <v>1</v>
      </c>
      <c r="C43" s="194"/>
      <c r="D43" s="194"/>
      <c r="E43" s="194"/>
      <c r="F43" s="194"/>
      <c r="G43" s="194"/>
      <c r="H43" s="195"/>
    </row>
    <row r="44" spans="1:8" ht="12.75">
      <c r="A44" s="29"/>
      <c r="B44" s="196" t="s">
        <v>4</v>
      </c>
      <c r="C44" s="6" t="s">
        <v>0</v>
      </c>
      <c r="H44" s="197"/>
    </row>
    <row r="45" spans="2:8" ht="12.75">
      <c r="B45" s="78">
        <f>B31/1000</f>
        <v>0</v>
      </c>
      <c r="C45" s="4">
        <v>0</v>
      </c>
      <c r="D45" s="6"/>
      <c r="H45" s="197"/>
    </row>
    <row r="46" spans="2:8" ht="12.75">
      <c r="B46" s="78">
        <v>0.05</v>
      </c>
      <c r="C46" s="4">
        <v>0</v>
      </c>
      <c r="H46" s="197"/>
    </row>
    <row r="47" spans="2:8" ht="12.75">
      <c r="B47" s="78">
        <v>0.05</v>
      </c>
      <c r="C47" s="4">
        <v>20</v>
      </c>
      <c r="D47" s="34"/>
      <c r="E47" s="34"/>
      <c r="F47" s="34"/>
      <c r="G47" s="34"/>
      <c r="H47" s="79"/>
    </row>
    <row r="48" spans="2:8" ht="12.75">
      <c r="B48" s="78">
        <v>0.1</v>
      </c>
      <c r="C48" s="4">
        <v>20</v>
      </c>
      <c r="D48" s="10"/>
      <c r="E48" s="10"/>
      <c r="F48" s="10"/>
      <c r="G48" s="10"/>
      <c r="H48" s="72"/>
    </row>
    <row r="49" spans="2:8" ht="12.75">
      <c r="B49" s="78">
        <v>0.1</v>
      </c>
      <c r="C49" s="4">
        <v>0</v>
      </c>
      <c r="E49" s="33"/>
      <c r="H49" s="197"/>
    </row>
    <row r="50" spans="2:8" ht="12.75">
      <c r="B50" s="78">
        <v>0.15</v>
      </c>
      <c r="C50" s="4">
        <v>0</v>
      </c>
      <c r="E50" s="33"/>
      <c r="H50" s="197"/>
    </row>
    <row r="51" spans="1:8" ht="12.75">
      <c r="A51" s="29"/>
      <c r="B51" s="199"/>
      <c r="C51" s="34"/>
      <c r="D51" s="34"/>
      <c r="E51" s="34"/>
      <c r="F51" s="34"/>
      <c r="G51" s="34"/>
      <c r="H51" s="79"/>
    </row>
    <row r="52" spans="2:8" ht="13.5" thickBot="1">
      <c r="B52" s="200"/>
      <c r="C52" s="88"/>
      <c r="D52" s="203"/>
      <c r="E52" s="204"/>
      <c r="F52" s="204"/>
      <c r="G52" s="204"/>
      <c r="H52" s="81"/>
    </row>
    <row r="53" spans="3:8" ht="12.75">
      <c r="C53" s="34"/>
      <c r="D53" s="35"/>
      <c r="E53" s="34"/>
      <c r="F53" s="34"/>
      <c r="G53" s="34"/>
      <c r="H53" s="34"/>
    </row>
    <row r="54" spans="3:8" ht="12.75">
      <c r="C54" s="34"/>
      <c r="D54" s="35"/>
      <c r="E54" s="33"/>
      <c r="F54" s="34"/>
      <c r="G54" s="34"/>
      <c r="H54" s="34"/>
    </row>
    <row r="55" spans="1:12" ht="15" thickBot="1">
      <c r="A55" s="173" t="s">
        <v>79</v>
      </c>
      <c r="B55" s="36"/>
      <c r="C55" s="177"/>
      <c r="D55" s="176" t="s">
        <v>6</v>
      </c>
      <c r="E55" s="176"/>
      <c r="F55" s="176"/>
      <c r="G55" s="176"/>
      <c r="H55" s="176"/>
      <c r="I55" s="176"/>
      <c r="J55" s="176"/>
      <c r="K55" s="176"/>
      <c r="L55" s="176"/>
    </row>
    <row r="56" spans="1:8" ht="13.5">
      <c r="A56" s="4" t="s">
        <v>218</v>
      </c>
      <c r="B56" s="119" t="s">
        <v>22</v>
      </c>
      <c r="C56" s="169">
        <f>AVERAGE($E$56:$E$65)</f>
        <v>25.5</v>
      </c>
      <c r="D56" s="4">
        <v>1</v>
      </c>
      <c r="E56" s="178">
        <v>25</v>
      </c>
      <c r="F56" s="34"/>
      <c r="G56" s="34"/>
      <c r="H56" s="34"/>
    </row>
    <row r="57" spans="2:8" ht="13.5">
      <c r="B57" s="196" t="s">
        <v>23</v>
      </c>
      <c r="C57" s="170">
        <f>MEDIAN($E$56:$E$65)</f>
        <v>23.5</v>
      </c>
      <c r="D57" s="4">
        <v>2</v>
      </c>
      <c r="E57" s="178">
        <v>22</v>
      </c>
      <c r="F57" s="34"/>
      <c r="G57" s="34"/>
      <c r="H57" s="34"/>
    </row>
    <row r="58" spans="2:8" ht="13.5">
      <c r="B58" s="196" t="s">
        <v>30</v>
      </c>
      <c r="C58" s="170">
        <f>MODE($E$56:$E$65)</f>
        <v>22</v>
      </c>
      <c r="D58" s="4">
        <v>3</v>
      </c>
      <c r="E58" s="178">
        <v>30</v>
      </c>
      <c r="F58" s="34"/>
      <c r="G58" s="34"/>
      <c r="H58" s="34"/>
    </row>
    <row r="59" spans="2:8" ht="13.5">
      <c r="B59" s="196" t="s">
        <v>5</v>
      </c>
      <c r="C59" s="170">
        <f>VARP($E$56:$E$65)</f>
        <v>29.65</v>
      </c>
      <c r="D59" s="4">
        <v>4</v>
      </c>
      <c r="E59" s="178">
        <v>24</v>
      </c>
      <c r="F59" s="34"/>
      <c r="G59" s="34"/>
      <c r="H59" s="34"/>
    </row>
    <row r="60" spans="2:8" ht="15" thickBot="1">
      <c r="B60" s="205" t="s">
        <v>26</v>
      </c>
      <c r="C60" s="44">
        <f>STDEVP($E$56:$E$65)</f>
        <v>5.445181356024793</v>
      </c>
      <c r="D60" s="4">
        <v>5</v>
      </c>
      <c r="E60" s="178">
        <v>26</v>
      </c>
      <c r="F60" s="34"/>
      <c r="G60" s="34"/>
      <c r="H60" s="34"/>
    </row>
    <row r="61" spans="1:5" ht="13.5">
      <c r="A61" s="29"/>
      <c r="C61" s="6"/>
      <c r="D61" s="4">
        <v>6</v>
      </c>
      <c r="E61" s="178">
        <v>21</v>
      </c>
    </row>
    <row r="62" spans="4:5" ht="13.5">
      <c r="D62" s="4">
        <v>7</v>
      </c>
      <c r="E62" s="178">
        <v>23</v>
      </c>
    </row>
    <row r="63" spans="4:5" ht="13.5">
      <c r="D63" s="4">
        <v>8</v>
      </c>
      <c r="E63" s="178">
        <v>22</v>
      </c>
    </row>
    <row r="64" spans="4:5" ht="13.5">
      <c r="D64" s="4">
        <v>9</v>
      </c>
      <c r="E64" s="178">
        <v>22</v>
      </c>
    </row>
    <row r="65" spans="4:5" ht="13.5">
      <c r="D65" s="4">
        <v>10</v>
      </c>
      <c r="E65" s="178">
        <v>40</v>
      </c>
    </row>
    <row r="66" ht="13.5" thickBot="1">
      <c r="D66" s="6"/>
    </row>
    <row r="67" spans="1:4" ht="12.75">
      <c r="A67" s="4" t="s">
        <v>220</v>
      </c>
      <c r="B67" s="119" t="s">
        <v>7</v>
      </c>
      <c r="C67" s="169">
        <f>AVERAGE($E$56:$E$65)</f>
        <v>25.5</v>
      </c>
      <c r="D67" s="6"/>
    </row>
    <row r="68" spans="2:3" ht="12.75">
      <c r="B68" s="196" t="s">
        <v>8</v>
      </c>
      <c r="C68" s="170">
        <f>VAR($E$56:$E$65)</f>
        <v>32.94444444444444</v>
      </c>
    </row>
    <row r="69" spans="2:3" ht="13.5" thickBot="1">
      <c r="B69" s="205" t="s">
        <v>9</v>
      </c>
      <c r="C69" s="44">
        <f>STDEV($E$56:$E$65)</f>
        <v>5.7397251192408545</v>
      </c>
    </row>
    <row r="70" ht="13.5" thickBot="1"/>
    <row r="71" spans="1:3" ht="13.5" thickBot="1">
      <c r="A71" s="4" t="s">
        <v>16</v>
      </c>
      <c r="B71" s="4" t="s">
        <v>10</v>
      </c>
      <c r="C71" s="151">
        <f>SQRT(9/10)</f>
        <v>0.9486832980505138</v>
      </c>
    </row>
    <row r="72" spans="2:3" ht="12.75">
      <c r="B72" s="4" t="s">
        <v>221</v>
      </c>
      <c r="C72" s="36">
        <f>C60/C69</f>
        <v>0.9486832980505139</v>
      </c>
    </row>
    <row r="73" spans="3:7" ht="12.75">
      <c r="C73" s="34"/>
      <c r="D73" s="34"/>
      <c r="E73" s="34"/>
      <c r="F73" s="34"/>
      <c r="G73" s="34"/>
    </row>
    <row r="74" spans="2:7" ht="13.5" thickBot="1">
      <c r="B74" s="36"/>
      <c r="C74" s="10"/>
      <c r="D74" s="10"/>
      <c r="E74" s="10"/>
      <c r="F74" s="10"/>
      <c r="G74" s="10"/>
    </row>
    <row r="75" spans="1:8" ht="12.75">
      <c r="A75" s="173" t="s">
        <v>222</v>
      </c>
      <c r="B75" s="206" t="s">
        <v>223</v>
      </c>
      <c r="C75" s="194"/>
      <c r="D75" s="194"/>
      <c r="E75" s="194"/>
      <c r="F75" s="194"/>
      <c r="G75" s="194"/>
      <c r="H75" s="195"/>
    </row>
    <row r="76" spans="2:10" ht="13.5" thickBot="1">
      <c r="B76" s="117" t="s">
        <v>246</v>
      </c>
      <c r="C76" s="207">
        <f>COMBIN(21,4)*FACT(4)*COMBIN(8,2)*FACT(2)+COMBIN(8,5)*FACT(5)*COMBIN(21,3)*FACT(3)</f>
        <v>61669440</v>
      </c>
      <c r="D76" s="204"/>
      <c r="E76" s="204"/>
      <c r="F76" s="204"/>
      <c r="G76" s="204"/>
      <c r="H76" s="81"/>
      <c r="I76" s="34"/>
      <c r="J76" s="34"/>
    </row>
    <row r="77" spans="1:10" ht="12.75">
      <c r="A77" s="34"/>
      <c r="B77" s="36"/>
      <c r="C77" s="10"/>
      <c r="D77" s="10"/>
      <c r="E77" s="10"/>
      <c r="F77" s="10"/>
      <c r="G77" s="34"/>
      <c r="H77" s="34"/>
      <c r="I77" s="34"/>
      <c r="J77" s="34"/>
    </row>
    <row r="78" spans="1:10" ht="12.75">
      <c r="A78" s="173" t="s">
        <v>224</v>
      </c>
      <c r="B78" s="33" t="s">
        <v>225</v>
      </c>
      <c r="C78" s="10"/>
      <c r="E78" s="10"/>
      <c r="F78" s="10"/>
      <c r="G78" s="34"/>
      <c r="H78" s="34"/>
      <c r="I78" s="34"/>
      <c r="J78" s="34"/>
    </row>
    <row r="79" spans="1:10" ht="12.75">
      <c r="A79" s="34"/>
      <c r="B79" s="4" t="s">
        <v>226</v>
      </c>
      <c r="C79" s="33">
        <v>10000</v>
      </c>
      <c r="D79" s="34"/>
      <c r="E79" s="34"/>
      <c r="F79" s="34"/>
      <c r="G79" s="34"/>
      <c r="H79" s="34"/>
      <c r="I79" s="34"/>
      <c r="J79" s="34"/>
    </row>
    <row r="80" spans="2:10" ht="12.75">
      <c r="B80" s="6" t="s">
        <v>227</v>
      </c>
      <c r="C80" s="36">
        <v>0.9</v>
      </c>
      <c r="D80" s="10"/>
      <c r="E80" s="10"/>
      <c r="F80" s="10"/>
      <c r="G80" s="34"/>
      <c r="H80" s="34"/>
      <c r="I80" s="34"/>
      <c r="J80" s="34"/>
    </row>
    <row r="81" spans="2:10" ht="12.75">
      <c r="B81" s="4" t="s">
        <v>228</v>
      </c>
      <c r="C81" s="33">
        <f>C79*C80</f>
        <v>9000</v>
      </c>
      <c r="D81" s="10"/>
      <c r="E81" s="10"/>
      <c r="F81" s="10"/>
      <c r="G81" s="34"/>
      <c r="H81" s="34"/>
      <c r="I81" s="34"/>
      <c r="J81" s="34"/>
    </row>
    <row r="82" spans="2:10" ht="12.75">
      <c r="B82" s="6" t="s">
        <v>64</v>
      </c>
      <c r="C82" s="33">
        <f>SQRT(C79*C80*(1-C80))</f>
        <v>29.999999999999996</v>
      </c>
      <c r="D82" s="34"/>
      <c r="E82" s="34"/>
      <c r="F82" s="34"/>
      <c r="G82" s="34"/>
      <c r="H82" s="34"/>
      <c r="I82" s="34"/>
      <c r="J82" s="34"/>
    </row>
    <row r="83" spans="2:10" ht="12.75">
      <c r="B83" s="36"/>
      <c r="C83" s="10"/>
      <c r="D83" s="10"/>
      <c r="E83" s="10"/>
      <c r="F83" s="10"/>
      <c r="G83" s="34"/>
      <c r="H83" s="34"/>
      <c r="I83" s="34"/>
      <c r="J83" s="34"/>
    </row>
    <row r="84" spans="1:10" ht="13.5" thickBot="1">
      <c r="A84" s="4" t="s">
        <v>218</v>
      </c>
      <c r="B84" s="29" t="s">
        <v>168</v>
      </c>
      <c r="C84" s="10" t="s">
        <v>46</v>
      </c>
      <c r="D84" s="10" t="s">
        <v>47</v>
      </c>
      <c r="E84" s="10" t="s">
        <v>48</v>
      </c>
      <c r="F84" s="10" t="s">
        <v>49</v>
      </c>
      <c r="G84" s="34" t="s">
        <v>169</v>
      </c>
      <c r="H84" s="34" t="s">
        <v>51</v>
      </c>
      <c r="I84" s="34" t="s">
        <v>45</v>
      </c>
      <c r="J84" s="34"/>
    </row>
    <row r="85" spans="3:10" ht="13.5" thickBot="1">
      <c r="C85" s="179">
        <f>9011-0.5</f>
        <v>9010.5</v>
      </c>
      <c r="D85" s="162">
        <f>9040+0.5</f>
        <v>9040.5</v>
      </c>
      <c r="E85" s="10">
        <f>(C85-$C$81)/$C$82</f>
        <v>0.35000000000000003</v>
      </c>
      <c r="F85" s="10">
        <f>(D85-$C$81)/$C$82</f>
        <v>1.35</v>
      </c>
      <c r="G85" s="10">
        <f>NORMSDIST(E85)</f>
        <v>0.6368306511756191</v>
      </c>
      <c r="H85" s="10">
        <f>NORMSDIST(F85)</f>
        <v>0.911492008562598</v>
      </c>
      <c r="I85" s="208">
        <f>H85-G85</f>
        <v>0.27466135738697894</v>
      </c>
      <c r="J85" s="34"/>
    </row>
    <row r="86" spans="1:10" ht="13.5" thickBot="1">
      <c r="A86" s="29"/>
      <c r="C86" s="6"/>
      <c r="D86" s="10"/>
      <c r="E86" s="10"/>
      <c r="F86" s="10"/>
      <c r="G86" s="34"/>
      <c r="H86" s="34"/>
      <c r="I86" s="34"/>
      <c r="J86" s="34"/>
    </row>
    <row r="87" spans="1:10" ht="13.5" thickBot="1">
      <c r="A87" s="4" t="s">
        <v>220</v>
      </c>
      <c r="B87" s="29" t="s">
        <v>170</v>
      </c>
      <c r="C87" s="179">
        <f>8990-0.5</f>
        <v>8989.5</v>
      </c>
      <c r="D87" s="162">
        <f>9020+0.5</f>
        <v>9020.5</v>
      </c>
      <c r="E87" s="10">
        <f>(C87-$C$81)/$C$82</f>
        <v>-0.35000000000000003</v>
      </c>
      <c r="F87" s="10">
        <f>(D87-$C$81)/$C$82</f>
        <v>0.6833333333333335</v>
      </c>
      <c r="G87" s="10">
        <f>NORMSDIST(E87)</f>
        <v>0.3631693488243809</v>
      </c>
      <c r="H87" s="10">
        <f>NORMSDIST(F87)</f>
        <v>0.7528018821733389</v>
      </c>
      <c r="I87" s="208">
        <f>H87-G87</f>
        <v>0.389632533348958</v>
      </c>
      <c r="J87" s="34"/>
    </row>
    <row r="88" spans="3:10" ht="12.75">
      <c r="C88" s="6"/>
      <c r="D88" s="10"/>
      <c r="E88" s="10"/>
      <c r="F88" s="10"/>
      <c r="G88" s="34"/>
      <c r="H88" s="34"/>
      <c r="I88" s="34"/>
      <c r="J88" s="34"/>
    </row>
    <row r="89" spans="3:10" ht="12.75">
      <c r="C89" s="6"/>
      <c r="D89" s="34"/>
      <c r="E89" s="34"/>
      <c r="F89" s="34"/>
      <c r="G89" s="34"/>
      <c r="H89" s="34"/>
      <c r="I89" s="34"/>
      <c r="J89" s="34"/>
    </row>
    <row r="90" spans="1:10" ht="12.75">
      <c r="A90" s="173" t="s">
        <v>171</v>
      </c>
      <c r="B90" s="4" t="s">
        <v>38</v>
      </c>
      <c r="C90" s="180">
        <v>9</v>
      </c>
      <c r="D90" s="34"/>
      <c r="E90" s="34"/>
      <c r="F90" s="34"/>
      <c r="G90" s="34"/>
      <c r="H90" s="34"/>
      <c r="I90" s="34"/>
      <c r="J90" s="34"/>
    </row>
    <row r="91" spans="2:10" ht="12.75">
      <c r="B91" s="4" t="s">
        <v>39</v>
      </c>
      <c r="C91" s="180">
        <f>C90^2</f>
        <v>81</v>
      </c>
      <c r="D91" s="33"/>
      <c r="E91" s="34"/>
      <c r="F91" s="34"/>
      <c r="G91" s="34"/>
      <c r="H91" s="34"/>
      <c r="I91" s="34"/>
      <c r="J91" s="34"/>
    </row>
    <row r="92" spans="2:10" ht="12.75">
      <c r="B92" s="4" t="s">
        <v>176</v>
      </c>
      <c r="C92" s="33">
        <v>20</v>
      </c>
      <c r="D92" s="33"/>
      <c r="E92" s="34"/>
      <c r="F92" s="34"/>
      <c r="G92" s="34"/>
      <c r="H92" s="34"/>
      <c r="I92" s="34"/>
      <c r="J92" s="34"/>
    </row>
    <row r="93" spans="2:10" ht="12.75">
      <c r="B93" s="4" t="s">
        <v>177</v>
      </c>
      <c r="C93" s="33">
        <v>10</v>
      </c>
      <c r="D93" s="33"/>
      <c r="E93" s="34"/>
      <c r="F93" s="34"/>
      <c r="G93" s="34"/>
      <c r="H93" s="34"/>
      <c r="I93" s="34"/>
      <c r="J93" s="34"/>
    </row>
    <row r="94" spans="2:10" ht="12.75">
      <c r="B94" s="4" t="s">
        <v>178</v>
      </c>
      <c r="C94" s="180">
        <v>22.4</v>
      </c>
      <c r="D94" s="33"/>
      <c r="E94" s="34"/>
      <c r="F94" s="34"/>
      <c r="G94" s="34"/>
      <c r="H94" s="34"/>
      <c r="I94" s="34"/>
      <c r="J94" s="34"/>
    </row>
    <row r="95" spans="2:10" ht="12.75">
      <c r="B95" s="4" t="s">
        <v>179</v>
      </c>
      <c r="C95" s="180">
        <v>34.4</v>
      </c>
      <c r="D95" s="33"/>
      <c r="E95" s="34"/>
      <c r="F95" s="34"/>
      <c r="G95" s="34"/>
      <c r="H95" s="34"/>
      <c r="I95" s="34"/>
      <c r="J95" s="34"/>
    </row>
    <row r="96" spans="2:10" ht="12.75">
      <c r="B96" s="4" t="s">
        <v>182</v>
      </c>
      <c r="C96" s="181">
        <v>0.01</v>
      </c>
      <c r="D96" s="33"/>
      <c r="E96" s="34"/>
      <c r="F96" s="34"/>
      <c r="G96" s="34"/>
      <c r="H96" s="34"/>
      <c r="I96" s="34"/>
      <c r="J96" s="34"/>
    </row>
    <row r="97" spans="2:10" ht="12.75">
      <c r="B97" s="4" t="s">
        <v>183</v>
      </c>
      <c r="C97" s="36">
        <f>NORMSINV(1-C96)</f>
        <v>2.32634787404084</v>
      </c>
      <c r="D97" s="33"/>
      <c r="E97" s="34"/>
      <c r="F97" s="34"/>
      <c r="G97" s="34"/>
      <c r="H97" s="34"/>
      <c r="I97" s="34"/>
      <c r="J97" s="34"/>
    </row>
    <row r="98" spans="3:10" ht="13.5" thickBot="1">
      <c r="C98" s="6"/>
      <c r="D98" s="33"/>
      <c r="E98" s="34"/>
      <c r="F98" s="34"/>
      <c r="G98" s="34"/>
      <c r="H98" s="34"/>
      <c r="I98" s="34"/>
      <c r="J98" s="34"/>
    </row>
    <row r="99" spans="1:10" ht="12.75">
      <c r="A99" s="4" t="s">
        <v>218</v>
      </c>
      <c r="B99" s="119" t="s">
        <v>172</v>
      </c>
      <c r="C99" s="194" t="s">
        <v>173</v>
      </c>
      <c r="D99" s="209"/>
      <c r="E99" s="34"/>
      <c r="F99" s="34"/>
      <c r="G99" s="34"/>
      <c r="H99" s="34"/>
      <c r="I99" s="34"/>
      <c r="J99" s="34"/>
    </row>
    <row r="100" spans="2:10" ht="12.75">
      <c r="B100" s="196" t="s">
        <v>55</v>
      </c>
      <c r="C100" s="4" t="s">
        <v>56</v>
      </c>
      <c r="D100" s="210"/>
      <c r="E100" s="34"/>
      <c r="F100" s="34"/>
      <c r="G100" s="34"/>
      <c r="H100" s="34"/>
      <c r="I100" s="34"/>
      <c r="J100" s="34"/>
    </row>
    <row r="101" spans="2:10" ht="12.75">
      <c r="B101" s="196" t="s">
        <v>57</v>
      </c>
      <c r="C101" s="4" t="s">
        <v>174</v>
      </c>
      <c r="D101" s="79"/>
      <c r="E101" s="34"/>
      <c r="F101" s="34"/>
      <c r="G101" s="34"/>
      <c r="H101" s="34"/>
      <c r="I101" s="34"/>
      <c r="J101" s="34"/>
    </row>
    <row r="102" spans="2:10" ht="12.75">
      <c r="B102" s="199" t="s">
        <v>175</v>
      </c>
      <c r="C102" s="6"/>
      <c r="D102" s="79"/>
      <c r="E102" s="34"/>
      <c r="F102" s="34"/>
      <c r="G102" s="34"/>
      <c r="H102" s="34"/>
      <c r="I102" s="34"/>
      <c r="J102" s="34"/>
    </row>
    <row r="103" spans="2:10" ht="12.75">
      <c r="B103" s="199" t="s">
        <v>81</v>
      </c>
      <c r="C103" s="6"/>
      <c r="D103" s="79"/>
      <c r="E103" s="34"/>
      <c r="F103" s="34"/>
      <c r="G103" s="34"/>
      <c r="H103" s="34"/>
      <c r="I103" s="34"/>
      <c r="J103" s="34"/>
    </row>
    <row r="104" spans="2:10" ht="12.75">
      <c r="B104" s="199" t="s">
        <v>180</v>
      </c>
      <c r="C104" s="6"/>
      <c r="D104" s="79"/>
      <c r="E104" s="34"/>
      <c r="F104" s="34"/>
      <c r="G104" s="34"/>
      <c r="H104" s="34"/>
      <c r="I104" s="34"/>
      <c r="J104" s="34"/>
    </row>
    <row r="105" spans="2:10" ht="12.75">
      <c r="B105" s="115" t="s">
        <v>135</v>
      </c>
      <c r="C105" s="36">
        <f>SQRT(C91/C93+C91/C92)</f>
        <v>3.485685011586675</v>
      </c>
      <c r="D105" s="79"/>
      <c r="E105" s="34"/>
      <c r="F105" s="34"/>
      <c r="G105" s="34"/>
      <c r="H105" s="34"/>
      <c r="I105" s="34"/>
      <c r="J105" s="34"/>
    </row>
    <row r="106" spans="2:10" ht="12.75">
      <c r="B106" s="199" t="s">
        <v>181</v>
      </c>
      <c r="C106" s="34"/>
      <c r="D106" s="79"/>
      <c r="E106" s="34"/>
      <c r="F106" s="34"/>
      <c r="G106" s="34"/>
      <c r="H106" s="34"/>
      <c r="I106" s="34"/>
      <c r="J106" s="34"/>
    </row>
    <row r="107" spans="2:10" ht="12.75">
      <c r="B107" s="115" t="s">
        <v>136</v>
      </c>
      <c r="C107" s="36">
        <f>C105*C97</f>
        <v>8.108915916280681</v>
      </c>
      <c r="D107" s="79"/>
      <c r="E107" s="34"/>
      <c r="F107" s="34"/>
      <c r="G107" s="34"/>
      <c r="H107" s="34"/>
      <c r="I107" s="34"/>
      <c r="J107" s="34"/>
    </row>
    <row r="108" spans="2:10" ht="12.75">
      <c r="B108" s="196" t="s">
        <v>184</v>
      </c>
      <c r="C108" s="36">
        <f>C95-C94</f>
        <v>12</v>
      </c>
      <c r="D108" s="79"/>
      <c r="E108" s="34"/>
      <c r="F108" s="34"/>
      <c r="G108" s="34"/>
      <c r="H108" s="34"/>
      <c r="I108" s="34"/>
      <c r="J108" s="34"/>
    </row>
    <row r="109" spans="2:10" ht="13.5" thickBot="1">
      <c r="B109" s="200" t="s">
        <v>82</v>
      </c>
      <c r="C109" s="204"/>
      <c r="D109" s="81"/>
      <c r="E109" s="34"/>
      <c r="F109" s="34"/>
      <c r="G109" s="34"/>
      <c r="H109" s="34"/>
      <c r="I109" s="34"/>
      <c r="J109" s="34"/>
    </row>
    <row r="110" spans="3:10" ht="12.75">
      <c r="C110" s="34"/>
      <c r="D110" s="34"/>
      <c r="E110" s="34"/>
      <c r="F110" s="34"/>
      <c r="G110" s="34"/>
      <c r="H110" s="34"/>
      <c r="I110" s="34"/>
      <c r="J110" s="34"/>
    </row>
    <row r="112" spans="1:3" ht="12.75">
      <c r="A112" s="4" t="s">
        <v>220</v>
      </c>
      <c r="B112" s="4" t="s">
        <v>186</v>
      </c>
      <c r="C112" s="33">
        <v>78</v>
      </c>
    </row>
    <row r="113" spans="2:3" ht="12.75">
      <c r="B113" s="4"/>
      <c r="C113" s="33"/>
    </row>
    <row r="114" spans="2:3" ht="12.75">
      <c r="B114" s="33" t="s">
        <v>188</v>
      </c>
      <c r="C114" s="33"/>
    </row>
    <row r="115" spans="2:3" ht="12.75">
      <c r="B115" s="4" t="s">
        <v>185</v>
      </c>
      <c r="C115" s="36">
        <f>-NORMSINV((100-C112)/200)</f>
        <v>1.22652812003661</v>
      </c>
    </row>
    <row r="116" spans="2:3" ht="12.75">
      <c r="B116" s="29" t="s">
        <v>190</v>
      </c>
      <c r="C116" s="36">
        <f>SQRT(C91/C92)</f>
        <v>2.0124611797498106</v>
      </c>
    </row>
    <row r="117" spans="2:3" ht="13.5" thickBot="1">
      <c r="B117" s="4" t="s">
        <v>191</v>
      </c>
      <c r="C117" s="36">
        <f>C115*C116</f>
        <v>2.4683402274451938</v>
      </c>
    </row>
    <row r="118" spans="2:3" ht="13.5" thickBot="1">
      <c r="B118" s="211" t="s">
        <v>192</v>
      </c>
      <c r="C118" s="212">
        <f>C117</f>
        <v>2.4683402274451938</v>
      </c>
    </row>
    <row r="120" spans="2:3" ht="12.75">
      <c r="B120" s="33" t="s">
        <v>189</v>
      </c>
      <c r="C120" s="33"/>
    </row>
    <row r="121" spans="2:3" ht="12.75">
      <c r="B121" s="4" t="s">
        <v>185</v>
      </c>
      <c r="C121" s="36">
        <f>-NORMSINV((100-C112)/200)</f>
        <v>1.22652812003661</v>
      </c>
    </row>
    <row r="122" spans="2:3" ht="12.75">
      <c r="B122" s="29" t="s">
        <v>135</v>
      </c>
      <c r="C122" s="36">
        <f>C105</f>
        <v>3.485685011586675</v>
      </c>
    </row>
    <row r="123" spans="2:3" ht="13.5" thickBot="1">
      <c r="B123" s="4" t="s">
        <v>187</v>
      </c>
      <c r="C123" s="36">
        <f>C121*C122</f>
        <v>4.2752906843011935</v>
      </c>
    </row>
    <row r="124" spans="2:3" ht="13.5" thickBot="1">
      <c r="B124" s="211" t="s">
        <v>83</v>
      </c>
      <c r="C124" s="212">
        <f>C123</f>
        <v>4.2752906843011935</v>
      </c>
    </row>
  </sheetData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11"/>
  <sheetViews>
    <sheetView zoomScale="125" zoomScaleNormal="125" workbookViewId="0" topLeftCell="A1">
      <selection activeCell="D45" sqref="A1:IV16384"/>
    </sheetView>
  </sheetViews>
  <sheetFormatPr defaultColWidth="11.00390625" defaultRowHeight="12.75"/>
  <cols>
    <col min="1" max="1" width="4.375" style="4" customWidth="1"/>
    <col min="2" max="2" width="17.875" style="4" customWidth="1"/>
    <col min="3" max="16384" width="10.75390625" style="4" customWidth="1"/>
  </cols>
  <sheetData>
    <row r="1" ht="12.75">
      <c r="A1" s="29"/>
    </row>
    <row r="2" spans="2:8" ht="12.75">
      <c r="B2" s="10"/>
      <c r="C2" s="10"/>
      <c r="D2" s="10"/>
      <c r="E2" s="34"/>
      <c r="F2" s="6"/>
      <c r="G2" s="6"/>
      <c r="H2" s="6"/>
    </row>
    <row r="3" spans="1:8" ht="12.75">
      <c r="A3" s="29"/>
      <c r="B3" s="10"/>
      <c r="C3" s="10"/>
      <c r="D3" s="10"/>
      <c r="E3" s="10"/>
      <c r="F3" s="6"/>
      <c r="G3" s="6"/>
      <c r="H3" s="6"/>
    </row>
    <row r="4" spans="2:8" ht="13.5">
      <c r="B4" s="10"/>
      <c r="C4" s="176"/>
      <c r="D4" s="176"/>
      <c r="E4" s="34"/>
      <c r="F4" s="6"/>
      <c r="G4" s="6"/>
      <c r="H4" s="6"/>
    </row>
    <row r="5" spans="2:8" ht="13.5">
      <c r="B5" s="10"/>
      <c r="C5" s="176"/>
      <c r="D5" s="176"/>
      <c r="E5" s="10"/>
      <c r="F5" s="6"/>
      <c r="G5" s="6"/>
      <c r="H5" s="6"/>
    </row>
    <row r="6" spans="1:5" ht="13.5">
      <c r="A6" s="33"/>
      <c r="B6" s="34"/>
      <c r="C6" s="176"/>
      <c r="D6" s="176"/>
      <c r="E6" s="34"/>
    </row>
    <row r="7" spans="2:5" ht="13.5">
      <c r="B7" s="34"/>
      <c r="C7" s="176"/>
      <c r="D7" s="176"/>
      <c r="E7" s="10"/>
    </row>
    <row r="8" spans="2:5" ht="13.5">
      <c r="B8" s="34"/>
      <c r="C8" s="176"/>
      <c r="D8" s="176"/>
      <c r="E8" s="34"/>
    </row>
    <row r="9" spans="3:5" ht="13.5">
      <c r="C9" s="176"/>
      <c r="D9" s="176"/>
      <c r="E9" s="2"/>
    </row>
    <row r="10" spans="2:4" ht="13.5">
      <c r="B10" s="33"/>
      <c r="C10" s="176"/>
      <c r="D10"/>
    </row>
    <row r="11" ht="12.75">
      <c r="C11" s="6"/>
    </row>
    <row r="12" spans="3:4" ht="12.75">
      <c r="C12" s="6"/>
      <c r="D12" s="2"/>
    </row>
    <row r="13" spans="2:4" ht="12.75">
      <c r="B13" s="6"/>
      <c r="D13" s="2"/>
    </row>
    <row r="14" ht="12.75">
      <c r="C14" s="6"/>
    </row>
    <row r="15" ht="12.75">
      <c r="B15" s="2"/>
    </row>
    <row r="16" spans="2:3" ht="12.75">
      <c r="B16" s="2"/>
      <c r="C16" s="6"/>
    </row>
    <row r="17" ht="12.75">
      <c r="B17" s="2"/>
    </row>
    <row r="18" ht="12.75">
      <c r="C18" s="6"/>
    </row>
    <row r="19" ht="12.75">
      <c r="A19" s="33"/>
    </row>
    <row r="21" spans="1:5" ht="12.75">
      <c r="A21" s="29"/>
      <c r="C21" s="2"/>
      <c r="D21" s="2"/>
      <c r="E21" s="2"/>
    </row>
    <row r="22" spans="3:5" ht="12.75">
      <c r="C22" s="6"/>
      <c r="E22" s="2"/>
    </row>
    <row r="23" spans="3:5" ht="12.75">
      <c r="C23" s="6"/>
      <c r="E23" s="2"/>
    </row>
    <row r="24" spans="3:5" ht="12.75">
      <c r="C24" s="6"/>
      <c r="E24" s="2"/>
    </row>
    <row r="25" spans="3:5" ht="12.75">
      <c r="C25" s="6"/>
      <c r="E25" s="2"/>
    </row>
    <row r="26" spans="3:5" ht="12.75">
      <c r="C26" s="6"/>
      <c r="E26" s="2"/>
    </row>
    <row r="27" ht="12.75">
      <c r="C27" s="6"/>
    </row>
    <row r="28" ht="12.75">
      <c r="C28" s="6"/>
    </row>
    <row r="29" spans="4:6" ht="12.75">
      <c r="D29" s="2"/>
      <c r="E29" s="2"/>
      <c r="F29" s="2"/>
    </row>
    <row r="30" spans="4:9" ht="12.75">
      <c r="D30" s="2"/>
      <c r="E30" s="13"/>
      <c r="H30" s="6"/>
      <c r="I30" s="6"/>
    </row>
    <row r="31" spans="4:9" ht="12.75">
      <c r="D31" s="6"/>
      <c r="E31" s="33"/>
      <c r="H31" s="6"/>
      <c r="I31" s="6"/>
    </row>
    <row r="32" spans="4:9" ht="12.75">
      <c r="D32" s="6"/>
      <c r="E32" s="13"/>
      <c r="H32" s="6"/>
      <c r="I32" s="6"/>
    </row>
    <row r="33" spans="4:9" ht="12.75">
      <c r="D33" s="2"/>
      <c r="E33" s="33"/>
      <c r="H33" s="2"/>
      <c r="I33" s="2"/>
    </row>
    <row r="34" ht="12.75">
      <c r="D34" s="33"/>
    </row>
    <row r="35" spans="3:4" ht="12.75">
      <c r="C35" s="6"/>
      <c r="D35" s="33"/>
    </row>
    <row r="36" ht="12.75">
      <c r="C36" s="6"/>
    </row>
    <row r="37" ht="12.75">
      <c r="C37" s="6"/>
    </row>
    <row r="38" ht="12.75">
      <c r="C38" s="6"/>
    </row>
    <row r="39" spans="1:3" ht="12.75">
      <c r="A39" s="33"/>
      <c r="C39" s="6"/>
    </row>
    <row r="41" ht="12.75">
      <c r="A41" s="29"/>
    </row>
    <row r="42" spans="2:4" ht="12.75">
      <c r="B42" s="6"/>
      <c r="C42" s="6"/>
      <c r="D42" s="6"/>
    </row>
    <row r="44" spans="2:8" ht="12.75">
      <c r="B44" s="35"/>
      <c r="C44" s="34"/>
      <c r="D44" s="34"/>
      <c r="E44" s="34"/>
      <c r="F44" s="34"/>
      <c r="G44" s="34"/>
      <c r="H44" s="34"/>
    </row>
    <row r="45" spans="2:8" ht="12.75">
      <c r="B45" s="10"/>
      <c r="C45" s="10"/>
      <c r="D45" s="10"/>
      <c r="E45" s="10"/>
      <c r="F45" s="10"/>
      <c r="G45" s="10"/>
      <c r="H45" s="10"/>
    </row>
    <row r="46" ht="12.75">
      <c r="E46" s="33"/>
    </row>
    <row r="47" ht="12.75">
      <c r="E47" s="33"/>
    </row>
    <row r="48" spans="1:8" ht="12.75">
      <c r="A48" s="29"/>
      <c r="B48" s="34"/>
      <c r="C48" s="34"/>
      <c r="D48" s="34"/>
      <c r="E48" s="34"/>
      <c r="F48" s="34"/>
      <c r="G48" s="34"/>
      <c r="H48" s="34"/>
    </row>
    <row r="49" spans="2:8" ht="12.75">
      <c r="B49" s="34"/>
      <c r="C49" s="10"/>
      <c r="D49" s="35"/>
      <c r="E49" s="34"/>
      <c r="F49" s="34"/>
      <c r="G49" s="34"/>
      <c r="H49" s="34"/>
    </row>
    <row r="50" spans="2:8" ht="12.75">
      <c r="B50" s="34"/>
      <c r="C50" s="34"/>
      <c r="D50" s="35"/>
      <c r="E50" s="34"/>
      <c r="F50" s="34"/>
      <c r="G50" s="34"/>
      <c r="H50" s="34"/>
    </row>
    <row r="51" spans="2:8" ht="12.75">
      <c r="B51" s="34"/>
      <c r="C51" s="34"/>
      <c r="D51" s="35"/>
      <c r="E51" s="33"/>
      <c r="F51" s="34"/>
      <c r="G51" s="34"/>
      <c r="H51" s="34"/>
    </row>
    <row r="52" spans="2:8" ht="12.75">
      <c r="B52" s="10"/>
      <c r="C52" s="10"/>
      <c r="D52" s="10"/>
      <c r="E52" s="33"/>
      <c r="F52" s="34"/>
      <c r="G52" s="34"/>
      <c r="H52" s="34"/>
    </row>
    <row r="53" spans="2:8" ht="12.75">
      <c r="B53" s="34"/>
      <c r="C53" s="34"/>
      <c r="D53" s="34"/>
      <c r="E53" s="34"/>
      <c r="F53" s="34"/>
      <c r="G53" s="34"/>
      <c r="H53" s="34"/>
    </row>
    <row r="54" spans="2:8" ht="12.75">
      <c r="B54" s="33"/>
      <c r="C54" s="34"/>
      <c r="D54" s="34"/>
      <c r="E54" s="34"/>
      <c r="F54" s="34"/>
      <c r="G54" s="34"/>
      <c r="H54" s="34"/>
    </row>
    <row r="55" spans="2:8" ht="12.75">
      <c r="B55" s="33"/>
      <c r="C55" s="34"/>
      <c r="D55" s="34"/>
      <c r="E55" s="34"/>
      <c r="F55" s="34"/>
      <c r="G55" s="34"/>
      <c r="H55" s="34"/>
    </row>
    <row r="56" spans="2:8" ht="12.75">
      <c r="B56" s="33"/>
      <c r="C56" s="34"/>
      <c r="D56" s="34"/>
      <c r="E56" s="34"/>
      <c r="F56" s="34"/>
      <c r="G56" s="34"/>
      <c r="H56" s="34"/>
    </row>
    <row r="57" spans="2:8" ht="12.75">
      <c r="B57" s="34"/>
      <c r="C57" s="34"/>
      <c r="D57" s="34"/>
      <c r="E57" s="34"/>
      <c r="F57" s="34"/>
      <c r="G57" s="34"/>
      <c r="H57" s="34"/>
    </row>
    <row r="58" ht="12.75">
      <c r="A58" s="29"/>
    </row>
    <row r="59" spans="2:5" ht="12.75">
      <c r="B59" s="6"/>
      <c r="C59" s="6"/>
      <c r="D59" s="6"/>
      <c r="E59" s="6"/>
    </row>
    <row r="63" spans="3:4" ht="12.75">
      <c r="C63" s="6"/>
      <c r="D63" s="6"/>
    </row>
    <row r="64" spans="3:4" ht="12.75">
      <c r="C64" s="6"/>
      <c r="D64" s="6"/>
    </row>
    <row r="65" spans="3:4" ht="12.75">
      <c r="C65" s="6"/>
      <c r="D65" s="6"/>
    </row>
    <row r="67" ht="12.75">
      <c r="C67" s="6"/>
    </row>
    <row r="68" ht="12.75">
      <c r="C68" s="6"/>
    </row>
    <row r="70" ht="12.75">
      <c r="C70" s="6"/>
    </row>
    <row r="72" spans="2:7" ht="12.75">
      <c r="B72" s="34"/>
      <c r="C72" s="34"/>
      <c r="D72" s="34"/>
      <c r="E72" s="34"/>
      <c r="F72" s="34"/>
      <c r="G72" s="34"/>
    </row>
    <row r="73" spans="2:7" ht="12.75">
      <c r="B73" s="10"/>
      <c r="C73" s="10"/>
      <c r="D73" s="10"/>
      <c r="E73" s="10"/>
      <c r="F73" s="10"/>
      <c r="G73" s="10"/>
    </row>
    <row r="75" spans="2:10" ht="12.75">
      <c r="B75" s="34"/>
      <c r="C75" s="34"/>
      <c r="D75" s="34"/>
      <c r="E75" s="34"/>
      <c r="F75" s="34"/>
      <c r="G75" s="34"/>
      <c r="H75" s="34"/>
      <c r="I75" s="34"/>
      <c r="J75" s="34"/>
    </row>
    <row r="76" spans="1:10" ht="12.75">
      <c r="A76" s="34"/>
      <c r="B76" s="10"/>
      <c r="C76" s="10"/>
      <c r="D76" s="10"/>
      <c r="E76" s="10"/>
      <c r="F76" s="10"/>
      <c r="G76" s="34"/>
      <c r="H76" s="34"/>
      <c r="I76" s="34"/>
      <c r="J76" s="34"/>
    </row>
    <row r="77" spans="1:10" ht="12.75">
      <c r="A77" s="34"/>
      <c r="B77" s="34"/>
      <c r="C77" s="10"/>
      <c r="E77" s="10"/>
      <c r="F77" s="10"/>
      <c r="G77" s="34"/>
      <c r="H77" s="34"/>
      <c r="I77" s="34"/>
      <c r="J77" s="34"/>
    </row>
    <row r="78" spans="1:10" ht="12.75">
      <c r="A78" s="34"/>
      <c r="B78" s="34"/>
      <c r="C78" s="34"/>
      <c r="D78" s="34"/>
      <c r="E78" s="34"/>
      <c r="F78" s="34"/>
      <c r="G78" s="34"/>
      <c r="H78" s="34"/>
      <c r="I78" s="34"/>
      <c r="J78" s="34"/>
    </row>
    <row r="79" spans="1:10" ht="12.75">
      <c r="A79" s="34"/>
      <c r="B79" s="10"/>
      <c r="C79" s="10"/>
      <c r="D79" s="10"/>
      <c r="E79" s="10"/>
      <c r="F79" s="10"/>
      <c r="G79" s="34"/>
      <c r="H79" s="34"/>
      <c r="I79" s="34"/>
      <c r="J79" s="34"/>
    </row>
    <row r="80" spans="1:10" ht="12.75">
      <c r="A80" s="34"/>
      <c r="B80" s="34"/>
      <c r="C80" s="10"/>
      <c r="D80" s="10"/>
      <c r="E80" s="10"/>
      <c r="F80" s="10"/>
      <c r="G80" s="34"/>
      <c r="H80" s="34"/>
      <c r="I80" s="34"/>
      <c r="J80" s="34"/>
    </row>
    <row r="81" spans="1:10" ht="12.75">
      <c r="A81" s="34"/>
      <c r="B81" s="34"/>
      <c r="C81" s="34"/>
      <c r="D81" s="34"/>
      <c r="E81" s="34"/>
      <c r="F81" s="34"/>
      <c r="G81" s="34"/>
      <c r="H81" s="34"/>
      <c r="I81" s="34"/>
      <c r="J81" s="34"/>
    </row>
    <row r="82" spans="1:10" ht="12.75">
      <c r="A82" s="34"/>
      <c r="B82" s="10"/>
      <c r="C82" s="10"/>
      <c r="D82" s="10"/>
      <c r="E82" s="10"/>
      <c r="F82" s="10"/>
      <c r="G82" s="34"/>
      <c r="H82" s="34"/>
      <c r="I82" s="34"/>
      <c r="J82" s="34"/>
    </row>
    <row r="83" spans="1:10" ht="12.75">
      <c r="A83" s="34"/>
      <c r="B83" s="34"/>
      <c r="C83" s="10"/>
      <c r="D83" s="10"/>
      <c r="E83" s="10"/>
      <c r="F83" s="10"/>
      <c r="G83" s="34"/>
      <c r="H83" s="34"/>
      <c r="I83" s="34"/>
      <c r="J83" s="34"/>
    </row>
    <row r="84" spans="1:10" ht="12.75">
      <c r="A84" s="34"/>
      <c r="B84" s="34"/>
      <c r="C84" s="10"/>
      <c r="D84" s="10"/>
      <c r="E84" s="10"/>
      <c r="F84" s="10"/>
      <c r="G84" s="34"/>
      <c r="H84" s="34"/>
      <c r="I84" s="34"/>
      <c r="J84" s="34"/>
    </row>
    <row r="85" spans="1:10" ht="12.75">
      <c r="A85" s="29"/>
      <c r="C85" s="6"/>
      <c r="D85" s="10"/>
      <c r="E85" s="10"/>
      <c r="F85" s="10"/>
      <c r="G85" s="34"/>
      <c r="H85" s="34"/>
      <c r="I85" s="34"/>
      <c r="J85" s="34"/>
    </row>
    <row r="86" spans="3:10" ht="12.75">
      <c r="C86" s="6"/>
      <c r="D86" s="10"/>
      <c r="E86" s="10"/>
      <c r="F86" s="10"/>
      <c r="G86" s="34"/>
      <c r="H86" s="34"/>
      <c r="I86" s="34"/>
      <c r="J86" s="34"/>
    </row>
    <row r="87" spans="3:10" ht="12.75">
      <c r="C87" s="6"/>
      <c r="D87" s="10"/>
      <c r="E87" s="10"/>
      <c r="F87" s="10"/>
      <c r="G87" s="34"/>
      <c r="H87" s="34"/>
      <c r="I87" s="34"/>
      <c r="J87" s="34"/>
    </row>
    <row r="88" spans="3:10" ht="12.75">
      <c r="C88" s="6"/>
      <c r="D88" s="34"/>
      <c r="E88" s="34"/>
      <c r="F88" s="34"/>
      <c r="G88" s="34"/>
      <c r="H88" s="34"/>
      <c r="I88" s="34"/>
      <c r="J88" s="34"/>
    </row>
    <row r="89" spans="2:10" ht="12.75">
      <c r="B89" s="34"/>
      <c r="D89" s="33"/>
      <c r="E89" s="34"/>
      <c r="F89" s="34"/>
      <c r="G89" s="34"/>
      <c r="H89" s="34"/>
      <c r="I89" s="34"/>
      <c r="J89" s="34"/>
    </row>
    <row r="90" spans="2:10" ht="12.75">
      <c r="B90" s="34"/>
      <c r="D90" s="33"/>
      <c r="E90" s="34"/>
      <c r="F90" s="34"/>
      <c r="G90" s="34"/>
      <c r="H90" s="34"/>
      <c r="I90" s="34"/>
      <c r="J90" s="34"/>
    </row>
    <row r="91" spans="2:10" ht="12.75">
      <c r="B91" s="34"/>
      <c r="D91" s="33"/>
      <c r="E91" s="34"/>
      <c r="F91" s="34"/>
      <c r="G91" s="34"/>
      <c r="H91" s="34"/>
      <c r="I91" s="34"/>
      <c r="J91" s="34"/>
    </row>
    <row r="92" spans="2:10" ht="12.75">
      <c r="B92" s="34"/>
      <c r="D92" s="33"/>
      <c r="E92" s="34"/>
      <c r="F92" s="34"/>
      <c r="G92" s="34"/>
      <c r="H92" s="34"/>
      <c r="I92" s="34"/>
      <c r="J92" s="34"/>
    </row>
    <row r="93" spans="2:10" ht="12.75">
      <c r="B93" s="34"/>
      <c r="C93" s="6"/>
      <c r="D93" s="33"/>
      <c r="E93" s="34"/>
      <c r="F93" s="34"/>
      <c r="G93" s="34"/>
      <c r="H93" s="34"/>
      <c r="I93" s="34"/>
      <c r="J93" s="34"/>
    </row>
    <row r="94" spans="2:10" ht="12.75">
      <c r="B94" s="34"/>
      <c r="C94" s="6"/>
      <c r="D94" s="33"/>
      <c r="E94" s="10"/>
      <c r="F94" s="34"/>
      <c r="G94" s="34"/>
      <c r="H94" s="34"/>
      <c r="I94" s="34"/>
      <c r="J94" s="34"/>
    </row>
    <row r="95" spans="2:10" ht="12.75">
      <c r="B95" s="34"/>
      <c r="C95" s="6"/>
      <c r="D95" s="33"/>
      <c r="E95" s="34"/>
      <c r="F95" s="34"/>
      <c r="G95" s="34"/>
      <c r="H95" s="34"/>
      <c r="I95" s="34"/>
      <c r="J95" s="34"/>
    </row>
    <row r="96" spans="2:10" ht="12.75">
      <c r="B96" s="34"/>
      <c r="C96" s="6"/>
      <c r="D96" s="33"/>
      <c r="E96" s="34"/>
      <c r="F96" s="34"/>
      <c r="G96" s="34"/>
      <c r="H96" s="34"/>
      <c r="I96" s="34"/>
      <c r="J96" s="34"/>
    </row>
    <row r="97" spans="2:10" ht="12.75">
      <c r="B97" s="34"/>
      <c r="C97" s="6"/>
      <c r="D97" s="33"/>
      <c r="E97" s="34"/>
      <c r="F97" s="34"/>
      <c r="G97" s="34"/>
      <c r="H97" s="34"/>
      <c r="I97" s="34"/>
      <c r="J97" s="34"/>
    </row>
    <row r="98" spans="2:10" ht="12.75">
      <c r="B98" s="34"/>
      <c r="C98" s="6"/>
      <c r="D98" s="33"/>
      <c r="E98" s="34"/>
      <c r="F98" s="34"/>
      <c r="G98" s="34"/>
      <c r="H98" s="34"/>
      <c r="I98" s="34"/>
      <c r="J98" s="34"/>
    </row>
    <row r="99" spans="2:10" ht="12.75">
      <c r="B99" s="34"/>
      <c r="C99" s="6"/>
      <c r="D99" s="33"/>
      <c r="E99" s="34"/>
      <c r="F99" s="34"/>
      <c r="G99" s="34"/>
      <c r="H99" s="34"/>
      <c r="I99" s="34"/>
      <c r="J99" s="34"/>
    </row>
    <row r="100" spans="2:10" ht="12.75">
      <c r="B100" s="34"/>
      <c r="C100" s="34"/>
      <c r="D100" s="34"/>
      <c r="E100" s="34"/>
      <c r="F100" s="34"/>
      <c r="G100" s="34"/>
      <c r="H100" s="34"/>
      <c r="I100" s="34"/>
      <c r="J100" s="34"/>
    </row>
    <row r="101" spans="2:10" ht="12.75">
      <c r="B101" s="34"/>
      <c r="C101" s="6"/>
      <c r="D101" s="33"/>
      <c r="E101" s="34"/>
      <c r="F101" s="34"/>
      <c r="G101" s="34"/>
      <c r="H101" s="34"/>
      <c r="I101" s="34"/>
      <c r="J101" s="34"/>
    </row>
    <row r="102" spans="2:10" ht="12.75">
      <c r="B102" s="34"/>
      <c r="C102" s="6"/>
      <c r="D102" s="34"/>
      <c r="E102" s="34"/>
      <c r="F102" s="34"/>
      <c r="G102" s="34"/>
      <c r="H102" s="34"/>
      <c r="I102" s="34"/>
      <c r="J102" s="34"/>
    </row>
    <row r="103" spans="2:10" ht="12.75">
      <c r="B103" s="34"/>
      <c r="C103" s="6"/>
      <c r="D103" s="34"/>
      <c r="E103" s="34"/>
      <c r="F103" s="34"/>
      <c r="G103" s="34"/>
      <c r="H103" s="34"/>
      <c r="I103" s="34"/>
      <c r="J103" s="34"/>
    </row>
    <row r="104" spans="2:10" ht="12.75">
      <c r="B104" s="34"/>
      <c r="C104" s="34"/>
      <c r="D104" s="34"/>
      <c r="E104" s="34"/>
      <c r="F104" s="34"/>
      <c r="G104" s="34"/>
      <c r="H104" s="34"/>
      <c r="I104" s="34"/>
      <c r="J104" s="34"/>
    </row>
    <row r="105" spans="2:10" ht="12.75">
      <c r="B105" s="34"/>
      <c r="C105" s="34"/>
      <c r="D105" s="34"/>
      <c r="E105" s="34"/>
      <c r="F105" s="34"/>
      <c r="G105" s="34"/>
      <c r="H105" s="34"/>
      <c r="I105" s="34"/>
      <c r="J105" s="34"/>
    </row>
    <row r="106" spans="2:10" ht="12.75">
      <c r="B106" s="34"/>
      <c r="C106" s="34"/>
      <c r="D106" s="34"/>
      <c r="E106" s="34"/>
      <c r="F106" s="34"/>
      <c r="G106" s="34"/>
      <c r="H106" s="34"/>
      <c r="I106" s="34"/>
      <c r="J106" s="34"/>
    </row>
    <row r="107" spans="2:10" ht="12.75">
      <c r="B107" s="34"/>
      <c r="C107" s="34"/>
      <c r="D107" s="34"/>
      <c r="E107" s="34"/>
      <c r="F107" s="34"/>
      <c r="G107" s="34"/>
      <c r="H107" s="34"/>
      <c r="I107" s="34"/>
      <c r="J107" s="34"/>
    </row>
    <row r="108" spans="2:10" ht="12.75">
      <c r="B108" s="34"/>
      <c r="C108" s="34"/>
      <c r="D108" s="34"/>
      <c r="E108" s="34"/>
      <c r="F108" s="34"/>
      <c r="G108" s="34"/>
      <c r="H108" s="34"/>
      <c r="I108" s="34"/>
      <c r="J108" s="34"/>
    </row>
    <row r="109" spans="2:10" ht="12.75">
      <c r="B109" s="34"/>
      <c r="C109" s="34"/>
      <c r="D109" s="34"/>
      <c r="E109" s="34"/>
      <c r="F109" s="34"/>
      <c r="G109" s="34"/>
      <c r="H109" s="34"/>
      <c r="I109" s="34"/>
      <c r="J109" s="34"/>
    </row>
    <row r="110" spans="2:10" ht="12.75">
      <c r="B110" s="34"/>
      <c r="C110" s="34"/>
      <c r="D110" s="34"/>
      <c r="E110" s="34"/>
      <c r="F110" s="34"/>
      <c r="G110" s="34"/>
      <c r="H110" s="34"/>
      <c r="I110" s="34"/>
      <c r="J110" s="34"/>
    </row>
    <row r="111" spans="2:10" ht="12.75">
      <c r="B111" s="34"/>
      <c r="C111" s="34"/>
      <c r="D111" s="34"/>
      <c r="E111" s="34"/>
      <c r="F111" s="34"/>
      <c r="G111" s="34"/>
      <c r="H111" s="34"/>
      <c r="I111" s="34"/>
      <c r="J111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Washingtobn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Geoffrey Loftus</dc:creator>
  <cp:keywords/>
  <dc:description/>
  <cp:lastModifiedBy>Geoffrey Loftus</cp:lastModifiedBy>
  <cp:lastPrinted>2008-01-21T22:35:17Z</cp:lastPrinted>
  <dcterms:created xsi:type="dcterms:W3CDTF">2005-01-11T19:08:43Z</dcterms:created>
  <cp:category/>
  <cp:version/>
  <cp:contentType/>
  <cp:contentStatus/>
</cp:coreProperties>
</file>