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worksheets/sheet19.xml" ContentType="application/vnd.openxmlformats-officedocument.spreadsheetml.workshee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7440" windowHeight="22660" tabRatio="796" activeTab="10"/>
  </bookViews>
  <sheets>
    <sheet name="Black screen" sheetId="15" r:id="rId1"/>
    <sheet name="Getting Started" sheetId="16" r:id="rId2"/>
    <sheet name="Tacoma Syndrome" sheetId="12" r:id="rId3"/>
    <sheet name="WSD-Incentive" sheetId="1" r:id="rId4"/>
    <sheet name="BSD-Incentive" sheetId="3" r:id="rId5"/>
    <sheet name="BSD-unequal n's" sheetId="10" r:id="rId6"/>
    <sheet name="Basic ANOVA" sheetId="9" r:id="rId7"/>
    <sheet name="ANOVA H0 True, False" sheetId="19" r:id="rId8"/>
    <sheet name="Unequal n's" sheetId="13" r:id="rId9"/>
    <sheet name="HOV test" sheetId="21" r:id="rId10"/>
    <sheet name="Two-way ANOVA" sheetId="4" r:id="rId11"/>
    <sheet name="Two-way ANOVA (2)" sheetId="14" r:id="rId12"/>
    <sheet name="Simple effects" sheetId="8" r:id="rId13"/>
    <sheet name="WSD-Incentive(2)" sheetId="17" r:id="rId14"/>
    <sheet name="WSD-Incentive(3)" sheetId="18" r:id="rId15"/>
    <sheet name="Typing Speeds" sheetId="11" r:id="rId16"/>
    <sheet name="Correlation" sheetId="22" r:id="rId17"/>
    <sheet name="Planned Comparisons (1)" sheetId="6" r:id="rId18"/>
    <sheet name="Planned Comparisons (2)" sheetId="7" r:id="rId19"/>
    <sheet name="PC-&quot;Useless&quot;" sheetId="23" r:id="rId2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19"/>
  <c r="M5"/>
  <c r="L5"/>
  <c r="K5"/>
  <c r="H8"/>
  <c r="M8"/>
  <c r="L8"/>
  <c r="K8"/>
  <c r="S7"/>
  <c r="V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3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W32"/>
  <c r="J8"/>
  <c r="L31"/>
  <c r="L32"/>
  <c r="L33"/>
  <c r="B8"/>
  <c r="C8"/>
  <c r="D8"/>
  <c r="E8"/>
  <c r="D31"/>
  <c r="D32"/>
  <c r="D33"/>
  <c r="S33"/>
  <c r="S34"/>
  <c r="S35"/>
  <c r="R35"/>
  <c r="T33"/>
  <c r="T34"/>
  <c r="T35"/>
  <c r="U33"/>
  <c r="U34"/>
  <c r="U35"/>
  <c r="V33"/>
  <c r="V34"/>
  <c r="V35"/>
  <c r="W35"/>
  <c r="H7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4"/>
  <c r="W33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4"/>
  <c r="R33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Q6" i="9"/>
  <c r="Q5"/>
  <c r="Q4"/>
  <c r="Q3"/>
  <c r="I2"/>
  <c r="I6"/>
  <c r="I7"/>
  <c r="I8"/>
  <c r="I9"/>
  <c r="I10"/>
  <c r="I11"/>
  <c r="I14"/>
  <c r="I12"/>
  <c r="R6"/>
  <c r="I15"/>
  <c r="I16"/>
  <c r="I17"/>
  <c r="I19"/>
  <c r="I29"/>
  <c r="I30"/>
  <c r="I31"/>
  <c r="I32"/>
  <c r="T6"/>
  <c r="G2"/>
  <c r="G6"/>
  <c r="G7"/>
  <c r="G8"/>
  <c r="G9"/>
  <c r="G10"/>
  <c r="G11"/>
  <c r="G14"/>
  <c r="G15"/>
  <c r="G16"/>
  <c r="G17"/>
  <c r="G19"/>
  <c r="G29"/>
  <c r="G30"/>
  <c r="G31"/>
  <c r="G32"/>
  <c r="T5"/>
  <c r="E2"/>
  <c r="E6"/>
  <c r="E7"/>
  <c r="E8"/>
  <c r="E9"/>
  <c r="E10"/>
  <c r="E11"/>
  <c r="E14"/>
  <c r="E15"/>
  <c r="E16"/>
  <c r="E17"/>
  <c r="E19"/>
  <c r="E29"/>
  <c r="E30"/>
  <c r="E31"/>
  <c r="E32"/>
  <c r="T4"/>
  <c r="C6"/>
  <c r="C7"/>
  <c r="C8"/>
  <c r="C9"/>
  <c r="C10"/>
  <c r="C11"/>
  <c r="C14"/>
  <c r="C15"/>
  <c r="C16"/>
  <c r="C17"/>
  <c r="C19"/>
  <c r="C29"/>
  <c r="C30"/>
  <c r="C31"/>
  <c r="C32"/>
  <c r="T3"/>
  <c r="K16"/>
  <c r="C18"/>
  <c r="E18"/>
  <c r="G18"/>
  <c r="I18"/>
  <c r="K17"/>
  <c r="I23"/>
  <c r="I24"/>
  <c r="I25"/>
  <c r="S6"/>
  <c r="G23"/>
  <c r="G24"/>
  <c r="G25"/>
  <c r="S5"/>
  <c r="E23"/>
  <c r="E24"/>
  <c r="E25"/>
  <c r="S4"/>
  <c r="C23"/>
  <c r="C24"/>
  <c r="C25"/>
  <c r="S3"/>
  <c r="G12"/>
  <c r="R5"/>
  <c r="E12"/>
  <c r="R4"/>
  <c r="C12"/>
  <c r="R3"/>
  <c r="K11"/>
  <c r="K14"/>
  <c r="O32"/>
  <c r="N32"/>
  <c r="P32"/>
  <c r="O33"/>
  <c r="N33"/>
  <c r="P33"/>
  <c r="Q32"/>
  <c r="R32"/>
  <c r="S32"/>
  <c r="N2"/>
  <c r="N3"/>
  <c r="N4"/>
  <c r="N5"/>
  <c r="N8"/>
  <c r="N7"/>
  <c r="N6"/>
  <c r="O34"/>
  <c r="N34"/>
  <c r="N1"/>
  <c r="I34"/>
  <c r="G34"/>
  <c r="E34"/>
  <c r="C34"/>
  <c r="I33"/>
  <c r="G33"/>
  <c r="E33"/>
  <c r="C33"/>
  <c r="I27"/>
  <c r="G27"/>
  <c r="E27"/>
  <c r="C27"/>
  <c r="I26"/>
  <c r="G26"/>
  <c r="E26"/>
  <c r="C26"/>
  <c r="I20"/>
  <c r="I21"/>
  <c r="G20"/>
  <c r="G21"/>
  <c r="E20"/>
  <c r="E21"/>
  <c r="C20"/>
  <c r="C21"/>
  <c r="K15"/>
  <c r="C1" i="3"/>
  <c r="E1"/>
  <c r="E6"/>
  <c r="E7"/>
  <c r="E8"/>
  <c r="E9"/>
  <c r="E10"/>
  <c r="E11"/>
  <c r="E12"/>
  <c r="E13"/>
  <c r="E14"/>
  <c r="C6"/>
  <c r="C7"/>
  <c r="C8"/>
  <c r="C9"/>
  <c r="C10"/>
  <c r="C11"/>
  <c r="C12"/>
  <c r="C13"/>
  <c r="C14"/>
  <c r="D15"/>
  <c r="C17"/>
  <c r="C16"/>
  <c r="C18"/>
  <c r="C19"/>
  <c r="C20"/>
  <c r="E17"/>
  <c r="E16"/>
  <c r="E18"/>
  <c r="E19"/>
  <c r="E20"/>
  <c r="C21"/>
  <c r="E21"/>
  <c r="D25"/>
  <c r="D27"/>
  <c r="I6"/>
  <c r="D26"/>
  <c r="I7"/>
  <c r="I8"/>
  <c r="E22"/>
  <c r="L30"/>
  <c r="L31"/>
  <c r="L32"/>
  <c r="L33"/>
  <c r="L3"/>
  <c r="C22"/>
  <c r="K30"/>
  <c r="K31"/>
  <c r="K32"/>
  <c r="K33"/>
  <c r="L2"/>
  <c r="I31"/>
  <c r="I32"/>
  <c r="I33"/>
  <c r="I35"/>
  <c r="I34"/>
  <c r="H31"/>
  <c r="E23"/>
  <c r="E24"/>
  <c r="C23"/>
  <c r="H32"/>
  <c r="H33"/>
  <c r="K2"/>
  <c r="K3"/>
  <c r="I3"/>
  <c r="I2"/>
  <c r="J3"/>
  <c r="J2"/>
  <c r="L6"/>
  <c r="L7"/>
  <c r="L8"/>
  <c r="L10"/>
  <c r="L9"/>
  <c r="L35"/>
  <c r="L34"/>
  <c r="K35"/>
  <c r="K34"/>
  <c r="H35"/>
  <c r="H34"/>
  <c r="C24"/>
  <c r="E2" i="10"/>
  <c r="E6"/>
  <c r="E7"/>
  <c r="E8"/>
  <c r="E9"/>
  <c r="E14"/>
  <c r="E15"/>
  <c r="E16"/>
  <c r="C6"/>
  <c r="C7"/>
  <c r="C8"/>
  <c r="C9"/>
  <c r="C10"/>
  <c r="C11"/>
  <c r="C12"/>
  <c r="C13"/>
  <c r="C14"/>
  <c r="C15"/>
  <c r="C16"/>
  <c r="D17"/>
  <c r="C19"/>
  <c r="C20"/>
  <c r="C21"/>
  <c r="E19"/>
  <c r="E20"/>
  <c r="E21"/>
  <c r="C22"/>
  <c r="E22"/>
  <c r="D26"/>
  <c r="D28"/>
  <c r="I6"/>
  <c r="D27"/>
  <c r="I7"/>
  <c r="I8"/>
  <c r="E23"/>
  <c r="M31"/>
  <c r="M32"/>
  <c r="M33"/>
  <c r="M34"/>
  <c r="L3"/>
  <c r="C23"/>
  <c r="L31"/>
  <c r="L32"/>
  <c r="L33"/>
  <c r="L34"/>
  <c r="L2"/>
  <c r="I32"/>
  <c r="I33"/>
  <c r="I34"/>
  <c r="I3"/>
  <c r="I2"/>
  <c r="K3"/>
  <c r="H32"/>
  <c r="H33"/>
  <c r="H34"/>
  <c r="K2"/>
  <c r="J3"/>
  <c r="J2"/>
  <c r="M36"/>
  <c r="L36"/>
  <c r="M35"/>
  <c r="L35"/>
  <c r="L6"/>
  <c r="L7"/>
  <c r="L8"/>
  <c r="L10"/>
  <c r="L9"/>
  <c r="I36"/>
  <c r="H36"/>
  <c r="I35"/>
  <c r="H35"/>
  <c r="E24"/>
  <c r="E25"/>
  <c r="C24"/>
  <c r="C25"/>
  <c r="A35" i="22"/>
  <c r="B3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H27"/>
  <c r="H28"/>
  <c r="A42"/>
  <c r="H11"/>
  <c r="H15"/>
  <c r="G12"/>
  <c r="I12"/>
  <c r="G14"/>
  <c r="G13"/>
  <c r="G25"/>
  <c r="G26"/>
  <c r="B42"/>
  <c r="A41"/>
  <c r="B41"/>
  <c r="I14"/>
  <c r="I13"/>
  <c r="G27"/>
  <c r="G37"/>
  <c r="G31"/>
  <c r="G32"/>
  <c r="G33"/>
  <c r="G35"/>
  <c r="G38"/>
  <c r="H38"/>
  <c r="G34"/>
  <c r="G36"/>
  <c r="I37"/>
  <c r="H3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I20"/>
  <c r="I18"/>
  <c r="I19"/>
  <c r="I28"/>
  <c r="G28"/>
  <c r="H26"/>
  <c r="H2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I21"/>
  <c r="I22"/>
  <c r="G18"/>
  <c r="G19"/>
  <c r="I17"/>
  <c r="G17"/>
  <c r="D36"/>
  <c r="B10" i="16"/>
  <c r="B11"/>
  <c r="B12"/>
  <c r="B13"/>
  <c r="B14"/>
  <c r="B15"/>
  <c r="B16"/>
  <c r="B17"/>
  <c r="B18"/>
  <c r="B19"/>
  <c r="B20"/>
  <c r="B23"/>
  <c r="B24"/>
  <c r="B25"/>
  <c r="B26"/>
  <c r="B27"/>
  <c r="B29"/>
  <c r="B30"/>
  <c r="J10"/>
  <c r="J11"/>
  <c r="J12"/>
  <c r="J15"/>
  <c r="J14"/>
  <c r="E11"/>
  <c r="E10"/>
  <c r="B28"/>
  <c r="D6" i="21"/>
  <c r="D7"/>
  <c r="D8"/>
  <c r="D9"/>
  <c r="D14"/>
  <c r="D15"/>
  <c r="D16"/>
  <c r="D17"/>
  <c r="D18"/>
  <c r="D19"/>
  <c r="B6"/>
  <c r="B7"/>
  <c r="B8"/>
  <c r="B9"/>
  <c r="B10"/>
  <c r="B11"/>
  <c r="B12"/>
  <c r="B13"/>
  <c r="B14"/>
  <c r="B15"/>
  <c r="B16"/>
  <c r="B17"/>
  <c r="B18"/>
  <c r="B19"/>
  <c r="M2"/>
  <c r="M9"/>
  <c r="M4"/>
  <c r="L10"/>
  <c r="G4"/>
  <c r="G9"/>
  <c r="F10"/>
  <c r="E35" i="23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7"/>
  <c r="B37"/>
  <c r="C37"/>
  <c r="D37"/>
  <c r="C41"/>
  <c r="B36"/>
  <c r="C36"/>
  <c r="D36"/>
  <c r="E36"/>
  <c r="F36"/>
  <c r="F37"/>
  <c r="C40"/>
  <c r="D41"/>
  <c r="D42"/>
  <c r="C43"/>
  <c r="B43"/>
  <c r="E43"/>
  <c r="B44"/>
  <c r="B40"/>
  <c r="B42"/>
  <c r="G42"/>
  <c r="C42"/>
  <c r="E42"/>
  <c r="F42"/>
  <c r="G41"/>
  <c r="E41"/>
  <c r="F41"/>
  <c r="G26"/>
  <c r="E8"/>
  <c r="E9"/>
  <c r="E10"/>
  <c r="E11"/>
  <c r="E12"/>
  <c r="E14"/>
  <c r="B8"/>
  <c r="B9"/>
  <c r="B10"/>
  <c r="B11"/>
  <c r="B12"/>
  <c r="B14"/>
  <c r="C8"/>
  <c r="C9"/>
  <c r="C10"/>
  <c r="C11"/>
  <c r="C12"/>
  <c r="C14"/>
  <c r="D8"/>
  <c r="D9"/>
  <c r="D10"/>
  <c r="D11"/>
  <c r="D12"/>
  <c r="D14"/>
  <c r="C18"/>
  <c r="B13"/>
  <c r="C13"/>
  <c r="D13"/>
  <c r="E13"/>
  <c r="F13"/>
  <c r="F14"/>
  <c r="C17"/>
  <c r="D18"/>
  <c r="D19"/>
  <c r="C20"/>
  <c r="B20"/>
  <c r="E20"/>
  <c r="B21"/>
  <c r="B17"/>
  <c r="B19"/>
  <c r="G19"/>
  <c r="G18"/>
  <c r="C19"/>
  <c r="E19"/>
  <c r="F19"/>
  <c r="E18"/>
  <c r="F18"/>
  <c r="G3"/>
  <c r="C20" i="6"/>
  <c r="C22"/>
  <c r="C12"/>
  <c r="C23"/>
  <c r="I22"/>
  <c r="I21"/>
  <c r="B4"/>
  <c r="C4"/>
  <c r="D4"/>
  <c r="E4"/>
  <c r="F4"/>
  <c r="H4"/>
  <c r="H5"/>
  <c r="D11"/>
  <c r="D20"/>
  <c r="F15"/>
  <c r="F16"/>
  <c r="B15"/>
  <c r="C15"/>
  <c r="D15"/>
  <c r="E15"/>
  <c r="B16"/>
  <c r="C16"/>
  <c r="D16"/>
  <c r="E16"/>
  <c r="D21"/>
  <c r="D22"/>
  <c r="F22"/>
  <c r="F21"/>
  <c r="E22"/>
  <c r="D12"/>
  <c r="D23"/>
  <c r="E23"/>
  <c r="G22"/>
  <c r="E21"/>
  <c r="G21"/>
  <c r="K11"/>
  <c r="K12"/>
  <c r="K13"/>
  <c r="G11"/>
  <c r="E11"/>
  <c r="F11"/>
  <c r="C12" i="7"/>
  <c r="C28"/>
  <c r="I26"/>
  <c r="F19"/>
  <c r="B19"/>
  <c r="C19"/>
  <c r="D19"/>
  <c r="E19"/>
  <c r="B20"/>
  <c r="D26"/>
  <c r="E26"/>
  <c r="D28"/>
  <c r="E28"/>
  <c r="H26"/>
  <c r="B4"/>
  <c r="C4"/>
  <c r="D4"/>
  <c r="E4"/>
  <c r="F4"/>
  <c r="H4"/>
  <c r="H5"/>
  <c r="D11"/>
  <c r="D24"/>
  <c r="F26"/>
  <c r="F15"/>
  <c r="B15"/>
  <c r="C15"/>
  <c r="D15"/>
  <c r="E15"/>
  <c r="D25"/>
  <c r="D27"/>
  <c r="C24"/>
  <c r="C27"/>
  <c r="E12"/>
  <c r="I27"/>
  <c r="E27"/>
  <c r="G27"/>
  <c r="F27"/>
  <c r="I25"/>
  <c r="E25"/>
  <c r="G25"/>
  <c r="F25"/>
  <c r="K11"/>
  <c r="K12"/>
  <c r="K13"/>
  <c r="G11"/>
  <c r="E11"/>
  <c r="F11"/>
  <c r="I20" i="8"/>
  <c r="J16"/>
  <c r="J17"/>
  <c r="D23"/>
  <c r="H16"/>
  <c r="H17"/>
  <c r="D22"/>
  <c r="F16"/>
  <c r="F17"/>
  <c r="D21"/>
  <c r="D16"/>
  <c r="D17"/>
  <c r="D20"/>
  <c r="J9"/>
  <c r="J10"/>
  <c r="C23"/>
  <c r="H9"/>
  <c r="H10"/>
  <c r="C22"/>
  <c r="F9"/>
  <c r="F10"/>
  <c r="C21"/>
  <c r="D9"/>
  <c r="D10"/>
  <c r="C20"/>
  <c r="W15"/>
  <c r="V15"/>
  <c r="X15"/>
  <c r="L16"/>
  <c r="K1"/>
  <c r="W14"/>
  <c r="V14"/>
  <c r="X14"/>
  <c r="W8"/>
  <c r="V8"/>
  <c r="X8"/>
  <c r="L9"/>
  <c r="W7"/>
  <c r="V7"/>
  <c r="Z14"/>
  <c r="Y14"/>
  <c r="Z7"/>
  <c r="X7"/>
  <c r="Y7"/>
  <c r="P14"/>
  <c r="O14"/>
  <c r="S14"/>
  <c r="Q14"/>
  <c r="R14"/>
  <c r="O7"/>
  <c r="S7"/>
  <c r="P7"/>
  <c r="Q7"/>
  <c r="R7"/>
  <c r="I1"/>
  <c r="L17"/>
  <c r="L10"/>
  <c r="B9" i="12"/>
  <c r="B10"/>
  <c r="B11"/>
  <c r="B12"/>
  <c r="B13"/>
  <c r="B14"/>
  <c r="B15"/>
  <c r="B16"/>
  <c r="B17"/>
  <c r="B18"/>
  <c r="B19"/>
  <c r="B21"/>
  <c r="B22"/>
  <c r="B23"/>
  <c r="B24"/>
  <c r="B25"/>
  <c r="B27"/>
  <c r="B28"/>
  <c r="E9"/>
  <c r="E10"/>
  <c r="E11"/>
  <c r="I9"/>
  <c r="I10"/>
  <c r="I11"/>
  <c r="J3"/>
  <c r="H3"/>
  <c r="I3"/>
  <c r="C19"/>
  <c r="C26"/>
  <c r="I13"/>
  <c r="I12"/>
  <c r="B26"/>
  <c r="D12" i="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J7"/>
  <c r="H7"/>
  <c r="F7"/>
  <c r="D7"/>
  <c r="J28"/>
  <c r="J29"/>
  <c r="H28"/>
  <c r="H29"/>
  <c r="F28"/>
  <c r="F29"/>
  <c r="D28"/>
  <c r="D29"/>
  <c r="L28"/>
  <c r="L29"/>
  <c r="G33"/>
  <c r="G34"/>
  <c r="L17"/>
  <c r="L25"/>
  <c r="K9"/>
  <c r="G35"/>
  <c r="G36"/>
  <c r="F34"/>
  <c r="F35"/>
  <c r="F36"/>
  <c r="H36"/>
  <c r="G37"/>
  <c r="F37"/>
  <c r="H37"/>
  <c r="I36"/>
  <c r="J36"/>
  <c r="K36"/>
  <c r="H35"/>
  <c r="I35"/>
  <c r="J35"/>
  <c r="K35"/>
  <c r="H34"/>
  <c r="I34"/>
  <c r="J34"/>
  <c r="K34"/>
  <c r="J26"/>
  <c r="R6"/>
  <c r="H26"/>
  <c r="R5"/>
  <c r="F26"/>
  <c r="R4"/>
  <c r="D26"/>
  <c r="R3"/>
  <c r="J18"/>
  <c r="Q6"/>
  <c r="H18"/>
  <c r="Q5"/>
  <c r="F18"/>
  <c r="Q4"/>
  <c r="D18"/>
  <c r="Q3"/>
  <c r="P6"/>
  <c r="P5"/>
  <c r="P4"/>
  <c r="P3"/>
  <c r="O6"/>
  <c r="O5"/>
  <c r="O4"/>
  <c r="O3"/>
  <c r="G38"/>
  <c r="F33"/>
  <c r="F38"/>
  <c r="C38"/>
  <c r="C39"/>
  <c r="C36"/>
  <c r="D19"/>
  <c r="F19"/>
  <c r="H19"/>
  <c r="J19"/>
  <c r="D27"/>
  <c r="F27"/>
  <c r="H27"/>
  <c r="J27"/>
  <c r="L30"/>
  <c r="L26"/>
  <c r="L18"/>
  <c r="L3"/>
  <c r="L5"/>
  <c r="L7"/>
  <c r="D12" i="1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C40"/>
  <c r="C38"/>
  <c r="C39"/>
  <c r="L28"/>
  <c r="L29"/>
  <c r="G33"/>
  <c r="G37"/>
  <c r="G38"/>
  <c r="F33"/>
  <c r="F37"/>
  <c r="F38"/>
  <c r="H37"/>
  <c r="D28"/>
  <c r="F28"/>
  <c r="H28"/>
  <c r="J28"/>
  <c r="G34"/>
  <c r="L17"/>
  <c r="L25"/>
  <c r="K9"/>
  <c r="G35"/>
  <c r="G36"/>
  <c r="F34"/>
  <c r="F35"/>
  <c r="F36"/>
  <c r="H36"/>
  <c r="I36"/>
  <c r="J36"/>
  <c r="K36"/>
  <c r="C36"/>
  <c r="H35"/>
  <c r="I35"/>
  <c r="J35"/>
  <c r="K35"/>
  <c r="H34"/>
  <c r="I34"/>
  <c r="J34"/>
  <c r="K34"/>
  <c r="L30"/>
  <c r="J29"/>
  <c r="H29"/>
  <c r="F29"/>
  <c r="D29"/>
  <c r="J27"/>
  <c r="H27"/>
  <c r="F27"/>
  <c r="D27"/>
  <c r="L26"/>
  <c r="J26"/>
  <c r="H26"/>
  <c r="F26"/>
  <c r="D26"/>
  <c r="J19"/>
  <c r="H19"/>
  <c r="F19"/>
  <c r="D19"/>
  <c r="L18"/>
  <c r="J18"/>
  <c r="H18"/>
  <c r="F18"/>
  <c r="D18"/>
  <c r="D7"/>
  <c r="F7"/>
  <c r="H7"/>
  <c r="J7"/>
  <c r="L7"/>
  <c r="T6"/>
  <c r="R6"/>
  <c r="Q6"/>
  <c r="S6"/>
  <c r="P6"/>
  <c r="O6"/>
  <c r="L5"/>
  <c r="T5"/>
  <c r="R5"/>
  <c r="Q5"/>
  <c r="S5"/>
  <c r="P5"/>
  <c r="O5"/>
  <c r="T4"/>
  <c r="R4"/>
  <c r="Q4"/>
  <c r="S4"/>
  <c r="P4"/>
  <c r="O4"/>
  <c r="L3"/>
  <c r="T3"/>
  <c r="R3"/>
  <c r="Q3"/>
  <c r="S3"/>
  <c r="P3"/>
  <c r="O3"/>
  <c r="D6" i="11"/>
  <c r="F6"/>
  <c r="H6"/>
  <c r="J6"/>
  <c r="D11"/>
  <c r="F11"/>
  <c r="H11"/>
  <c r="J11"/>
  <c r="J13"/>
  <c r="J15"/>
  <c r="J12"/>
  <c r="J7"/>
  <c r="H13"/>
  <c r="H14"/>
  <c r="F13"/>
  <c r="F14"/>
  <c r="D13"/>
  <c r="D14"/>
  <c r="H12"/>
  <c r="F12"/>
  <c r="D12"/>
  <c r="H7"/>
  <c r="F7"/>
  <c r="D7"/>
  <c r="G2" i="13"/>
  <c r="G9"/>
  <c r="G8"/>
  <c r="G7"/>
  <c r="G6"/>
  <c r="I2"/>
  <c r="I6"/>
  <c r="I7"/>
  <c r="I8"/>
  <c r="I9"/>
  <c r="I10"/>
  <c r="E2"/>
  <c r="E6"/>
  <c r="E7"/>
  <c r="E8"/>
  <c r="E9"/>
  <c r="E10"/>
  <c r="C6"/>
  <c r="C7"/>
  <c r="C11"/>
  <c r="C13"/>
  <c r="C15"/>
  <c r="E11"/>
  <c r="E13"/>
  <c r="E15"/>
  <c r="G11"/>
  <c r="G13"/>
  <c r="G15"/>
  <c r="I11"/>
  <c r="I13"/>
  <c r="I15"/>
  <c r="K15"/>
  <c r="O33"/>
  <c r="C16"/>
  <c r="E16"/>
  <c r="G16"/>
  <c r="I16"/>
  <c r="K16"/>
  <c r="N33"/>
  <c r="K11"/>
  <c r="K13"/>
  <c r="O32"/>
  <c r="O5"/>
  <c r="I12"/>
  <c r="I14"/>
  <c r="I17"/>
  <c r="I19"/>
  <c r="I29"/>
  <c r="I30"/>
  <c r="I31"/>
  <c r="I32"/>
  <c r="I34"/>
  <c r="G12"/>
  <c r="G14"/>
  <c r="G17"/>
  <c r="G19"/>
  <c r="G29"/>
  <c r="G30"/>
  <c r="G31"/>
  <c r="G32"/>
  <c r="G34"/>
  <c r="E12"/>
  <c r="E14"/>
  <c r="E17"/>
  <c r="E19"/>
  <c r="E29"/>
  <c r="E30"/>
  <c r="E31"/>
  <c r="E32"/>
  <c r="E34"/>
  <c r="C12"/>
  <c r="C14"/>
  <c r="C17"/>
  <c r="C19"/>
  <c r="C29"/>
  <c r="C30"/>
  <c r="C31"/>
  <c r="C32"/>
  <c r="C34"/>
  <c r="I33"/>
  <c r="G33"/>
  <c r="E33"/>
  <c r="C33"/>
  <c r="C18"/>
  <c r="E18"/>
  <c r="G18"/>
  <c r="I18"/>
  <c r="K17"/>
  <c r="I23"/>
  <c r="I24"/>
  <c r="I25"/>
  <c r="I27"/>
  <c r="G23"/>
  <c r="G24"/>
  <c r="G25"/>
  <c r="G27"/>
  <c r="E23"/>
  <c r="E24"/>
  <c r="E25"/>
  <c r="E27"/>
  <c r="C23"/>
  <c r="C24"/>
  <c r="C25"/>
  <c r="C27"/>
  <c r="I26"/>
  <c r="G26"/>
  <c r="E26"/>
  <c r="C26"/>
  <c r="I20"/>
  <c r="I21"/>
  <c r="G20"/>
  <c r="G21"/>
  <c r="E20"/>
  <c r="E21"/>
  <c r="C20"/>
  <c r="C21"/>
  <c r="K14"/>
  <c r="O34"/>
  <c r="N32"/>
  <c r="N34"/>
  <c r="P33"/>
  <c r="P32"/>
  <c r="Q32"/>
  <c r="R32"/>
  <c r="S32"/>
  <c r="R6"/>
  <c r="Q6"/>
  <c r="P6"/>
  <c r="O6"/>
  <c r="R5"/>
  <c r="Q5"/>
  <c r="P5"/>
  <c r="R4"/>
  <c r="Q4"/>
  <c r="P4"/>
  <c r="O4"/>
  <c r="R3"/>
  <c r="Q3"/>
  <c r="P3"/>
  <c r="O3"/>
  <c r="A7" i="1"/>
  <c r="D7"/>
  <c r="C7"/>
  <c r="E7"/>
  <c r="A8"/>
  <c r="D8"/>
  <c r="C8"/>
  <c r="E8"/>
  <c r="A9"/>
  <c r="D9"/>
  <c r="C9"/>
  <c r="E9"/>
  <c r="A10"/>
  <c r="D10"/>
  <c r="C10"/>
  <c r="E10"/>
  <c r="A11"/>
  <c r="D11"/>
  <c r="C11"/>
  <c r="E11"/>
  <c r="A12"/>
  <c r="D12"/>
  <c r="C12"/>
  <c r="E12"/>
  <c r="A13"/>
  <c r="D13"/>
  <c r="C13"/>
  <c r="E13"/>
  <c r="A14"/>
  <c r="D14"/>
  <c r="C14"/>
  <c r="E14"/>
  <c r="A15"/>
  <c r="D15"/>
  <c r="C15"/>
  <c r="E15"/>
  <c r="A16"/>
  <c r="D16"/>
  <c r="C16"/>
  <c r="E16"/>
  <c r="E17"/>
  <c r="E20"/>
  <c r="E21"/>
  <c r="E22"/>
  <c r="E23"/>
  <c r="E24"/>
  <c r="E26"/>
  <c r="E27"/>
  <c r="H5"/>
  <c r="H6"/>
  <c r="H7"/>
  <c r="K5"/>
  <c r="K6"/>
  <c r="K7"/>
  <c r="K2"/>
  <c r="I2"/>
  <c r="E3"/>
  <c r="H2"/>
  <c r="D17"/>
  <c r="C17"/>
  <c r="E19"/>
  <c r="D19"/>
  <c r="C19"/>
  <c r="A17"/>
  <c r="K9"/>
  <c r="K8"/>
  <c r="E25"/>
  <c r="F4" i="17"/>
  <c r="E4"/>
  <c r="D4"/>
  <c r="B17"/>
  <c r="F17"/>
  <c r="E17"/>
  <c r="D17"/>
  <c r="B16"/>
  <c r="F16"/>
  <c r="E16"/>
  <c r="D16"/>
  <c r="B15"/>
  <c r="F15"/>
  <c r="E15"/>
  <c r="D15"/>
  <c r="B14"/>
  <c r="F14"/>
  <c r="E14"/>
  <c r="D14"/>
  <c r="B13"/>
  <c r="F13"/>
  <c r="E13"/>
  <c r="D13"/>
  <c r="B12"/>
  <c r="F12"/>
  <c r="E12"/>
  <c r="D12"/>
  <c r="B11"/>
  <c r="F11"/>
  <c r="E11"/>
  <c r="D11"/>
  <c r="B10"/>
  <c r="F10"/>
  <c r="E10"/>
  <c r="D10"/>
  <c r="B9"/>
  <c r="F9"/>
  <c r="E9"/>
  <c r="D9"/>
  <c r="B8"/>
  <c r="F8"/>
  <c r="E8"/>
  <c r="D8"/>
  <c r="F19"/>
  <c r="E19"/>
  <c r="E18"/>
  <c r="F18"/>
  <c r="D19"/>
  <c r="D18"/>
  <c r="B18"/>
  <c r="A7" i="18"/>
  <c r="E7"/>
  <c r="A9"/>
  <c r="E9"/>
  <c r="A11"/>
  <c r="E11"/>
  <c r="A13"/>
  <c r="E13"/>
  <c r="A15"/>
  <c r="E15"/>
  <c r="A17"/>
  <c r="E17"/>
  <c r="A19"/>
  <c r="E19"/>
  <c r="A21"/>
  <c r="E21"/>
  <c r="A23"/>
  <c r="E23"/>
  <c r="A25"/>
  <c r="E25"/>
  <c r="E28"/>
  <c r="D7"/>
  <c r="D9"/>
  <c r="D11"/>
  <c r="D13"/>
  <c r="D15"/>
  <c r="D17"/>
  <c r="D19"/>
  <c r="D21"/>
  <c r="D23"/>
  <c r="D25"/>
  <c r="D28"/>
  <c r="C7"/>
  <c r="C9"/>
  <c r="C11"/>
  <c r="C13"/>
  <c r="C15"/>
  <c r="C17"/>
  <c r="C19"/>
  <c r="C21"/>
  <c r="C23"/>
  <c r="C25"/>
  <c r="C28"/>
  <c r="E27"/>
  <c r="D27"/>
  <c r="C27"/>
  <c r="A27"/>
</calcChain>
</file>

<file path=xl/sharedStrings.xml><?xml version="1.0" encoding="utf-8"?>
<sst xmlns="http://schemas.openxmlformats.org/spreadsheetml/2006/main" count="1248" uniqueCount="714">
  <si>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8" type="noConversion"/>
  </si>
  <si>
    <t xml:space="preserve">M = </t>
    <phoneticPr fontId="8" type="noConversion"/>
  </si>
  <si>
    <r>
      <t>x</t>
    </r>
    <r>
      <rPr>
        <vertAlign val="subscript"/>
        <sz val="18"/>
        <color indexed="9"/>
        <rFont val="Times"/>
      </rPr>
      <t>113</t>
    </r>
    <r>
      <rPr>
        <sz val="18"/>
        <color indexed="9"/>
        <rFont val="Times"/>
      </rPr>
      <t xml:space="preserve"> =</t>
    </r>
    <phoneticPr fontId="8" type="noConversion"/>
  </si>
  <si>
    <t>Level 2:</t>
    <phoneticPr fontId="8" type="noConversion"/>
  </si>
  <si>
    <t>Level 3:</t>
    <phoneticPr fontId="8" type="noConversion"/>
  </si>
  <si>
    <t>Level 4:</t>
    <phoneticPr fontId="8" type="noConversion"/>
  </si>
  <si>
    <t>MSW =</t>
    <phoneticPr fontId="8" type="noConversion"/>
  </si>
  <si>
    <t>CI=</t>
    <phoneticPr fontId="8" type="noConversion"/>
  </si>
  <si>
    <r>
      <t>m</t>
    </r>
    <r>
      <rPr>
        <vertAlign val="subscript"/>
        <sz val="16"/>
        <color indexed="9"/>
        <rFont val="Times"/>
      </rPr>
      <t>2</t>
    </r>
    <phoneticPr fontId="8" type="noConversion"/>
  </si>
  <si>
    <t>Obt F</t>
    <phoneticPr fontId="8" type="noConversion"/>
  </si>
  <si>
    <t>Crit F</t>
    <phoneticPr fontId="8" type="noConversion"/>
  </si>
  <si>
    <r>
      <t>x</t>
    </r>
    <r>
      <rPr>
        <vertAlign val="subscript"/>
        <sz val="18"/>
        <color indexed="9"/>
        <rFont val="Times"/>
      </rPr>
      <t>34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</si>
  <si>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44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</si>
  <si>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35</t>
    </r>
    <r>
      <rPr>
        <sz val="18"/>
        <color indexed="9"/>
        <rFont val="Times"/>
      </rPr>
      <t xml:space="preserve"> =</t>
    </r>
    <phoneticPr fontId="8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</si>
  <si>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2</t>
    </r>
    <phoneticPr fontId="8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</si>
  <si>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8" type="noConversion"/>
  </si>
  <si>
    <t>Level 1: Immediate test</t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</si>
  <si>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</si>
  <si>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</si>
  <si>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</si>
  <si>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</si>
  <si>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213</t>
    </r>
    <r>
      <rPr>
        <sz val="18"/>
        <color indexed="9"/>
        <rFont val="Times"/>
      </rPr>
      <t xml:space="preserve"> =</t>
    </r>
    <phoneticPr fontId="8" type="noConversion"/>
  </si>
  <si>
    <r>
      <t>n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</si>
  <si>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413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</si>
  <si>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114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</si>
  <si>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214</t>
    </r>
    <r>
      <rPr>
        <sz val="18"/>
        <color indexed="9"/>
        <rFont val="Times"/>
      </rPr>
      <t xml:space="preserve"> =</t>
    </r>
    <phoneticPr fontId="8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</si>
  <si>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8" type="noConversion"/>
  </si>
  <si>
    <r>
      <t>x</t>
    </r>
    <r>
      <rPr>
        <vertAlign val="subscript"/>
        <sz val="18"/>
        <color indexed="9"/>
        <rFont val="Times"/>
      </rPr>
      <t>17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</si>
  <si>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18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</si>
  <si>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</si>
  <si>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</si>
  <si>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t>Clerk-Microsoft</t>
    <phoneticPr fontId="8" type="noConversion"/>
  </si>
  <si>
    <t>H1</t>
    <phoneticPr fontId="8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</si>
  <si>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</si>
  <si>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8" type="noConversion"/>
  </si>
  <si>
    <r>
      <t xml:space="preserve">MSB = est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from between groups = </t>
    </r>
    <phoneticPr fontId="8" type="noConversion"/>
  </si>
  <si>
    <r>
      <t xml:space="preserve">Demonstration of why MSB isn't a good estimate of </t>
    </r>
    <r>
      <rPr>
        <sz val="24"/>
        <rFont val="Symbol"/>
      </rPr>
      <t>s</t>
    </r>
    <r>
      <rPr>
        <vertAlign val="superscript"/>
        <sz val="24"/>
        <rFont val="Times"/>
      </rPr>
      <t>2</t>
    </r>
    <r>
      <rPr>
        <sz val="24"/>
        <rFont val="Times"/>
      </rPr>
      <t xml:space="preserve"> when the null hypothesis is false</t>
    </r>
    <phoneticPr fontId="8" type="noConversion"/>
  </si>
  <si>
    <r>
      <t>m</t>
    </r>
    <r>
      <rPr>
        <vertAlign val="subscript"/>
        <sz val="16"/>
        <color indexed="9"/>
        <rFont val="Times"/>
      </rPr>
      <t>4</t>
    </r>
    <phoneticPr fontId="8" type="noConversion"/>
  </si>
  <si>
    <r>
      <t>m</t>
    </r>
    <r>
      <rPr>
        <vertAlign val="subscript"/>
        <sz val="16"/>
        <color indexed="9"/>
        <rFont val="Times"/>
      </rPr>
      <t>3</t>
    </r>
    <phoneticPr fontId="8" type="noConversion"/>
  </si>
  <si>
    <r>
      <t>= M</t>
    </r>
    <r>
      <rPr>
        <vertAlign val="subscript"/>
        <sz val="18"/>
        <color indexed="9"/>
        <rFont val="Times"/>
      </rPr>
      <t>2</t>
    </r>
    <phoneticPr fontId="8" type="noConversion"/>
  </si>
  <si>
    <t>crit t =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</si>
  <si>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Mjk</t>
    </r>
    <r>
      <rPr>
        <sz val="18"/>
        <color indexed="9"/>
        <rFont val="Times"/>
      </rPr>
      <t xml:space="preserve"> = </t>
    </r>
    <phoneticPr fontId="8" type="noConversion"/>
  </si>
  <si>
    <t>For graphing regression line...</t>
    <phoneticPr fontId="8" type="noConversion"/>
  </si>
  <si>
    <t>X (Alc)</t>
    <phoneticPr fontId="8" type="noConversion"/>
  </si>
  <si>
    <t>Condition 2</t>
    <phoneticPr fontId="8" type="noConversion"/>
  </si>
  <si>
    <t>Condition 1</t>
    <phoneticPr fontId="8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</si>
  <si>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1</t>
    </r>
    <phoneticPr fontId="8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</si>
  <si>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4</t>
    </r>
    <phoneticPr fontId="8" type="noConversion"/>
  </si>
  <si>
    <r>
      <t xml:space="preserve"> </t>
    </r>
    <r>
      <rPr>
        <sz val="16"/>
        <color indexed="9"/>
        <rFont val="Symbol"/>
      </rPr>
      <t>m</t>
    </r>
    <r>
      <rPr>
        <vertAlign val="subscript"/>
        <sz val="16"/>
        <color indexed="9"/>
        <rFont val="Times"/>
      </rPr>
      <t>3</t>
    </r>
    <phoneticPr fontId="8" type="noConversion"/>
  </si>
  <si>
    <r>
      <t>x</t>
    </r>
    <r>
      <rPr>
        <vertAlign val="subscript"/>
        <sz val="18"/>
        <rFont val="Times"/>
      </rPr>
      <t>313</t>
    </r>
    <r>
      <rPr>
        <sz val="18"/>
        <rFont val="Times"/>
      </rPr>
      <t xml:space="preserve"> =</t>
    </r>
  </si>
  <si>
    <r>
      <t>Y</t>
    </r>
    <r>
      <rPr>
        <vertAlign val="subscript"/>
        <sz val="11"/>
        <rFont val="Verdana"/>
      </rPr>
      <t>i</t>
    </r>
    <r>
      <rPr>
        <sz val="11"/>
        <rFont val="Times"/>
      </rPr>
      <t>' = r (</t>
    </r>
    <r>
      <rPr>
        <sz val="11"/>
        <rFont val="Symbol"/>
      </rPr>
      <t>s</t>
    </r>
    <r>
      <rPr>
        <vertAlign val="subscript"/>
        <sz val="11"/>
        <rFont val="Verdana"/>
      </rPr>
      <t>Y</t>
    </r>
    <r>
      <rPr>
        <sz val="11"/>
        <rFont val="Times"/>
      </rPr>
      <t>/</t>
    </r>
    <r>
      <rPr>
        <sz val="11"/>
        <rFont val="Symbol"/>
      </rPr>
      <t>s</t>
    </r>
    <r>
      <rPr>
        <vertAlign val="subscript"/>
        <sz val="11"/>
        <rFont val="Verdana"/>
      </rPr>
      <t>X</t>
    </r>
    <r>
      <rPr>
        <sz val="11"/>
        <rFont val="Times"/>
      </rPr>
      <t>)(X</t>
    </r>
    <r>
      <rPr>
        <vertAlign val="subscript"/>
        <sz val="11"/>
        <rFont val="Verdana"/>
      </rPr>
      <t>i</t>
    </r>
    <r>
      <rPr>
        <sz val="11"/>
        <rFont val="Times"/>
      </rPr>
      <t>-</t>
    </r>
    <r>
      <rPr>
        <sz val="11"/>
        <rFont val="Symbol"/>
      </rPr>
      <t>m</t>
    </r>
    <r>
      <rPr>
        <vertAlign val="subscript"/>
        <sz val="11"/>
        <rFont val="Verdana"/>
      </rPr>
      <t>X</t>
    </r>
    <r>
      <rPr>
        <sz val="11"/>
        <rFont val="Times"/>
      </rPr>
      <t xml:space="preserve">) + </t>
    </r>
    <r>
      <rPr>
        <sz val="11"/>
        <rFont val="Symbol"/>
      </rPr>
      <t>m</t>
    </r>
    <r>
      <rPr>
        <vertAlign val="subscript"/>
        <sz val="11"/>
        <rFont val="Verdana"/>
      </rPr>
      <t>Y</t>
    </r>
    <phoneticPr fontId="8" type="noConversion"/>
  </si>
  <si>
    <t>Y-Variances:</t>
    <phoneticPr fontId="8" type="noConversion"/>
  </si>
  <si>
    <t>Variance of Y':</t>
    <phoneticPr fontId="8" type="noConversion"/>
  </si>
  <si>
    <t xml:space="preserve">Error Variance: </t>
    <phoneticPr fontId="8" type="noConversion"/>
  </si>
  <si>
    <t>Total Variance:</t>
    <phoneticPr fontId="8" type="noConversion"/>
  </si>
  <si>
    <t>Population mean temperature of normal people</t>
    <phoneticPr fontId="8" type="noConversion"/>
  </si>
  <si>
    <t>MS</t>
    <phoneticPr fontId="8" type="noConversion"/>
  </si>
  <si>
    <t>Obt F</t>
    <phoneticPr fontId="8" type="noConversion"/>
  </si>
  <si>
    <t>Crit F</t>
    <phoneticPr fontId="8" type="noConversion"/>
  </si>
  <si>
    <t>Between</t>
    <phoneticPr fontId="8" type="noConversion"/>
  </si>
  <si>
    <t>Hyp</t>
    <phoneticPr fontId="8" type="noConversion"/>
  </si>
  <si>
    <t>Resid</t>
    <phoneticPr fontId="8" type="noConversion"/>
  </si>
  <si>
    <t>Within</t>
    <phoneticPr fontId="8" type="noConversion"/>
  </si>
  <si>
    <t xml:space="preserve">95% CI = </t>
    <phoneticPr fontId="8" type="noConversion"/>
  </si>
  <si>
    <t>Inpt. Var values:</t>
    <phoneticPr fontId="8" type="noConversion"/>
  </si>
  <si>
    <r>
      <t xml:space="preserve">"Perfection" null hypothesis is true (correlation between </t>
    </r>
    <r>
      <rPr>
        <sz val="20"/>
        <color indexed="9"/>
        <rFont val="Symbol"/>
      </rPr>
      <t>m</t>
    </r>
    <r>
      <rPr>
        <vertAlign val="subscript"/>
        <sz val="20"/>
        <color indexed="9"/>
        <rFont val="Times"/>
      </rPr>
      <t>j</t>
    </r>
    <r>
      <rPr>
        <sz val="20"/>
        <color indexed="9"/>
        <rFont val="Times"/>
      </rPr>
      <t>'s and w</t>
    </r>
    <r>
      <rPr>
        <vertAlign val="subscript"/>
        <sz val="20"/>
        <color indexed="9"/>
        <rFont val="Times"/>
      </rPr>
      <t>j</t>
    </r>
    <r>
      <rPr>
        <sz val="20"/>
        <color indexed="9"/>
        <rFont val="Times"/>
      </rPr>
      <t>'s is 1.0)</t>
    </r>
    <phoneticPr fontId="8" type="noConversion"/>
  </si>
  <si>
    <r>
      <t xml:space="preserve">"Uselessness" null hypothesis is true (correlation between </t>
    </r>
    <r>
      <rPr>
        <sz val="20"/>
        <color indexed="9"/>
        <rFont val="Symbol"/>
      </rPr>
      <t>m</t>
    </r>
    <r>
      <rPr>
        <vertAlign val="subscript"/>
        <sz val="20"/>
        <color indexed="9"/>
        <rFont val="Times"/>
      </rPr>
      <t>j</t>
    </r>
    <r>
      <rPr>
        <sz val="20"/>
        <color indexed="9"/>
        <rFont val="Times"/>
      </rPr>
      <t>'s and w</t>
    </r>
    <r>
      <rPr>
        <vertAlign val="subscript"/>
        <sz val="20"/>
        <color indexed="9"/>
        <rFont val="Times"/>
      </rPr>
      <t>j</t>
    </r>
    <r>
      <rPr>
        <sz val="20"/>
        <color indexed="9"/>
        <rFont val="Times"/>
      </rPr>
      <t>'s is 0.0)</t>
    </r>
    <phoneticPr fontId="8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</si>
  <si>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8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</si>
  <si>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8" type="noConversion"/>
  </si>
  <si>
    <r>
      <t>r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(w's, </t>
    </r>
    <r>
      <rPr>
        <sz val="18"/>
        <color indexed="9"/>
        <rFont val="Symbol"/>
      </rPr>
      <t>m</t>
    </r>
    <r>
      <rPr>
        <sz val="18"/>
        <color indexed="9"/>
        <rFont val="Times"/>
      </rPr>
      <t xml:space="preserve">'s) = </t>
    </r>
    <phoneticPr fontId="8" type="noConversion"/>
  </si>
  <si>
    <t xml:space="preserve">n = </t>
    <phoneticPr fontId="8" type="noConversion"/>
  </si>
  <si>
    <t>DATA</t>
    <phoneticPr fontId="8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</si>
  <si>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8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</si>
  <si>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8" type="noConversion"/>
  </si>
  <si>
    <t>= T</t>
    <phoneticPr fontId="8" type="noConversion"/>
  </si>
  <si>
    <t>= N</t>
    <phoneticPr fontId="8" type="noConversion"/>
  </si>
  <si>
    <t>ANOVA</t>
    <phoneticPr fontId="8" type="noConversion"/>
  </si>
  <si>
    <t>Source</t>
    <phoneticPr fontId="8" type="noConversion"/>
  </si>
  <si>
    <t>df</t>
    <phoneticPr fontId="8" type="noConversion"/>
  </si>
  <si>
    <t>SS</t>
    <phoneticPr fontId="8" type="noConversion"/>
  </si>
  <si>
    <t>% var</t>
    <phoneticPr fontId="8" type="noConversion"/>
  </si>
  <si>
    <t>ANOVA</t>
    <phoneticPr fontId="8" type="noConversion"/>
  </si>
  <si>
    <r>
      <t>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</si>
  <si>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</si>
  <si>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r>
      <t>SS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</si>
  <si>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8" type="noConversion"/>
  </si>
  <si>
    <t>Factor 1: Amount of Degradation (percent pixels removed)</t>
    <phoneticPr fontId="8" type="noConversion"/>
  </si>
  <si>
    <t>Level 2: 15</t>
    <phoneticPr fontId="8" type="noConversion"/>
  </si>
  <si>
    <r>
      <t>T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8" type="noConversion"/>
  </si>
  <si>
    <t>= M</t>
    <phoneticPr fontId="8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</si>
  <si>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</si>
  <si>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8" type="noConversion"/>
  </si>
  <si>
    <r>
      <t>a</t>
    </r>
    <r>
      <rPr>
        <sz val="18"/>
        <color indexed="9"/>
        <rFont val="Times"/>
      </rPr>
      <t xml:space="preserve"> = </t>
    </r>
    <phoneticPr fontId="8" type="noConversion"/>
  </si>
  <si>
    <t>Factor 2: Delay Interval</t>
    <phoneticPr fontId="8" type="noConversion"/>
  </si>
  <si>
    <t>CI = ±</t>
    <phoneticPr fontId="8" type="noConversion"/>
  </si>
  <si>
    <r>
      <t>x</t>
    </r>
    <r>
      <rPr>
        <vertAlign val="subscript"/>
        <sz val="18"/>
        <color indexed="9"/>
        <rFont val="Times"/>
      </rPr>
      <t>123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</si>
  <si>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</si>
  <si>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</si>
  <si>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</si>
  <si>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124</t>
    </r>
    <r>
      <rPr>
        <sz val="18"/>
        <color indexed="9"/>
        <rFont val="Times"/>
      </rPr>
      <t xml:space="preserve"> =</t>
    </r>
    <phoneticPr fontId="8" type="noConversion"/>
  </si>
  <si>
    <t>Level 1: Immediate test</t>
    <phoneticPr fontId="8" type="noConversion"/>
  </si>
  <si>
    <t>Obt F</t>
    <phoneticPr fontId="8" type="noConversion"/>
  </si>
  <si>
    <t>Cond 1</t>
    <phoneticPr fontId="8" type="noConversion"/>
  </si>
  <si>
    <t>Cond 2</t>
    <phoneticPr fontId="8" type="noConversion"/>
  </si>
  <si>
    <t>Cond 3</t>
    <phoneticPr fontId="8" type="noConversion"/>
  </si>
  <si>
    <t xml:space="preserve">CI = ± </t>
    <phoneticPr fontId="8" type="noConversion"/>
  </si>
  <si>
    <r>
      <t>m</t>
    </r>
    <r>
      <rPr>
        <vertAlign val="subscript"/>
        <sz val="18"/>
        <color indexed="9"/>
        <rFont val="Times"/>
      </rPr>
      <t>j</t>
    </r>
    <phoneticPr fontId="8" type="noConversion"/>
  </si>
  <si>
    <r>
      <t xml:space="preserve">   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8" type="noConversion"/>
  </si>
  <si>
    <t>(implies one-tailed test)</t>
    <phoneticPr fontId="8" type="noConversion"/>
  </si>
  <si>
    <r>
      <t xml:space="preserve">Reality: The </t>
    </r>
    <r>
      <rPr>
        <sz val="30"/>
        <color indexed="9"/>
        <rFont val="Symbol"/>
      </rPr>
      <t>m</t>
    </r>
    <r>
      <rPr>
        <sz val="30"/>
        <color indexed="9"/>
        <rFont val="Times"/>
      </rPr>
      <t>'s</t>
    </r>
    <phoneticPr fontId="8" type="noConversion"/>
  </si>
  <si>
    <t>Level 1:</t>
    <phoneticPr fontId="8" type="noConversion"/>
  </si>
  <si>
    <t>SSW =</t>
    <phoneticPr fontId="8" type="noConversion"/>
  </si>
  <si>
    <t>T =</t>
    <phoneticPr fontId="8" type="noConversion"/>
  </si>
  <si>
    <t xml:space="preserve">n = </t>
    <phoneticPr fontId="8" type="noConversion"/>
  </si>
  <si>
    <t>SS =</t>
    <phoneticPr fontId="8" type="noConversion"/>
  </si>
  <si>
    <t>df =</t>
    <phoneticPr fontId="8" type="noConversion"/>
  </si>
  <si>
    <t>Level 2: One-week delayed test</t>
    <phoneticPr fontId="8" type="noConversion"/>
  </si>
  <si>
    <t>SS</t>
    <phoneticPr fontId="8" type="noConversion"/>
  </si>
  <si>
    <t>df</t>
    <phoneticPr fontId="8" type="noConversion"/>
  </si>
  <si>
    <t>Obtained F</t>
    <phoneticPr fontId="8" type="noConversion"/>
  </si>
  <si>
    <t>Criterion F</t>
    <phoneticPr fontId="8" type="noConversion"/>
  </si>
  <si>
    <t>High Incentive)</t>
    <phoneticPr fontId="8" type="noConversion"/>
  </si>
  <si>
    <t>ANOVA</t>
    <phoneticPr fontId="8" type="noConversion"/>
  </si>
  <si>
    <t xml:space="preserve">CI % = </t>
    <phoneticPr fontId="8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</si>
  <si>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8" type="noConversion"/>
  </si>
  <si>
    <t>Obt t =</t>
    <phoneticPr fontId="8" type="noConversion"/>
  </si>
  <si>
    <t>For Graph:</t>
    <phoneticPr fontId="8" type="noConversion"/>
  </si>
  <si>
    <t>J =</t>
    <phoneticPr fontId="8" type="noConversion"/>
  </si>
  <si>
    <t xml:space="preserve">n = </t>
    <phoneticPr fontId="8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</si>
  <si>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</si>
  <si>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</si>
  <si>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</si>
  <si>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423</t>
    </r>
    <r>
      <rPr>
        <sz val="18"/>
        <color indexed="9"/>
        <rFont val="Times"/>
      </rPr>
      <t xml:space="preserve"> =</t>
    </r>
    <phoneticPr fontId="8" type="noConversion"/>
  </si>
  <si>
    <t>Y (RT)</t>
    <phoneticPr fontId="8" type="noConversion"/>
  </si>
  <si>
    <t>Y' = Pred Y</t>
    <phoneticPr fontId="8" type="noConversion"/>
  </si>
  <si>
    <t>Error = Y-Y'</t>
    <phoneticPr fontId="8" type="noConversion"/>
  </si>
  <si>
    <t>Population SD of temperatures</t>
    <phoneticPr fontId="8" type="noConversion"/>
  </si>
  <si>
    <t>VP-Microsoft</t>
    <phoneticPr fontId="8" type="noConversion"/>
  </si>
  <si>
    <t>Clerk-Boeing</t>
    <phoneticPr fontId="8" type="noConversion"/>
  </si>
  <si>
    <t>df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</si>
  <si>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8" type="noConversion"/>
  </si>
  <si>
    <t xml:space="preserve">CI % = </t>
    <phoneticPr fontId="8" type="noConversion"/>
  </si>
  <si>
    <t>For computing confidence intervals around r</t>
    <phoneticPr fontId="8" type="noConversion"/>
  </si>
  <si>
    <t>To get z from r: z = 0.5 ln[(1+r)/(1-r)]</t>
    <phoneticPr fontId="8" type="noConversion"/>
  </si>
  <si>
    <r>
      <t>x</t>
    </r>
    <r>
      <rPr>
        <vertAlign val="subscript"/>
        <sz val="18"/>
        <color indexed="9"/>
        <rFont val="Times"/>
      </rPr>
      <t>324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</si>
  <si>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424</t>
    </r>
    <r>
      <rPr>
        <sz val="18"/>
        <color indexed="9"/>
        <rFont val="Times"/>
      </rPr>
      <t xml:space="preserve"> =</t>
    </r>
    <phoneticPr fontId="8" type="noConversion"/>
  </si>
  <si>
    <t>= total number of scores</t>
    <phoneticPr fontId="8" type="noConversion"/>
  </si>
  <si>
    <t>dfW =</t>
    <phoneticPr fontId="8" type="noConversion"/>
  </si>
  <si>
    <r>
      <t>x</t>
    </r>
    <r>
      <rPr>
        <vertAlign val="subscript"/>
        <sz val="18"/>
        <color indexed="9"/>
        <rFont val="Times"/>
      </rPr>
      <t>425</t>
    </r>
    <r>
      <rPr>
        <sz val="18"/>
        <color indexed="9"/>
        <rFont val="Times"/>
      </rPr>
      <t xml:space="preserve"> =</t>
    </r>
    <phoneticPr fontId="8" type="noConversion"/>
  </si>
  <si>
    <r>
      <t>(x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x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8" type="noConversion"/>
  </si>
  <si>
    <t>Means</t>
    <phoneticPr fontId="8" type="noConversion"/>
  </si>
  <si>
    <r>
      <t>= M</t>
    </r>
    <r>
      <rPr>
        <vertAlign val="subscript"/>
        <sz val="18"/>
        <color indexed="9"/>
        <rFont val="Times"/>
      </rPr>
      <t>1</t>
    </r>
    <phoneticPr fontId="8" type="noConversion"/>
  </si>
  <si>
    <t>CI (non HOV)</t>
    <phoneticPr fontId="8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</si>
  <si>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</si>
  <si>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</si>
  <si>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</si>
  <si>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</si>
  <si>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t>Optional</t>
    <phoneticPr fontId="8" type="noConversion"/>
  </si>
  <si>
    <t>Hypotheses...</t>
    <phoneticPr fontId="8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</si>
  <si>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</si>
  <si>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</si>
  <si>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Cj</t>
    </r>
    <phoneticPr fontId="8" type="noConversion"/>
  </si>
  <si>
    <t xml:space="preserve">T = </t>
    <phoneticPr fontId="8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</si>
  <si>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</si>
  <si>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</si>
  <si>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</si>
  <si>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</si>
  <si>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</si>
  <si>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313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</si>
  <si>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</si>
  <si>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r>
      <t>s</t>
    </r>
    <r>
      <rPr>
        <vertAlign val="subscript"/>
        <sz val="18"/>
        <color indexed="9"/>
        <rFont val="Times"/>
      </rPr>
      <t>S</t>
    </r>
    <r>
      <rPr>
        <sz val="18"/>
        <color indexed="9"/>
        <rFont val="Times"/>
      </rPr>
      <t xml:space="preserve"> =</t>
    </r>
  </si>
  <si>
    <r>
      <t>s</t>
    </r>
    <r>
      <rPr>
        <vertAlign val="subscript"/>
        <sz val="18"/>
        <color indexed="9"/>
        <rFont val="Times"/>
      </rPr>
      <t>e</t>
    </r>
    <r>
      <rPr>
        <sz val="18"/>
        <color indexed="9"/>
        <rFont val="Times"/>
      </rPr>
      <t xml:space="preserve"> =</t>
    </r>
  </si>
  <si>
    <r>
      <rPr>
        <sz val="18"/>
        <color indexed="9"/>
        <rFont val="Symbol"/>
      </rPr>
      <t>m</t>
    </r>
    <r>
      <rPr>
        <sz val="18"/>
        <color indexed="9"/>
        <rFont val="Times"/>
      </rPr>
      <t xml:space="preserve"> = </t>
    </r>
  </si>
  <si>
    <r>
      <t>x</t>
    </r>
    <r>
      <rPr>
        <vertAlign val="subscript"/>
        <sz val="18"/>
        <color indexed="9"/>
        <rFont val="Times"/>
      </rPr>
      <t>314</t>
    </r>
    <r>
      <rPr>
        <sz val="18"/>
        <color indexed="9"/>
        <rFont val="Times"/>
      </rPr>
      <t xml:space="preserve"> =</t>
    </r>
    <phoneticPr fontId="8" type="noConversion"/>
  </si>
  <si>
    <r>
      <t>df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</si>
  <si>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</si>
  <si>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414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</si>
  <si>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115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</si>
  <si>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215</t>
    </r>
    <r>
      <rPr>
        <sz val="18"/>
        <color indexed="9"/>
        <rFont val="Times"/>
      </rPr>
      <t xml:space="preserve"> =</t>
    </r>
    <phoneticPr fontId="8" type="noConversion"/>
  </si>
  <si>
    <t>H1</t>
    <phoneticPr fontId="8" type="noConversion"/>
  </si>
  <si>
    <t>H2</t>
    <phoneticPr fontId="8" type="noConversion"/>
  </si>
  <si>
    <t>H2</t>
    <phoneticPr fontId="8" type="noConversion"/>
  </si>
  <si>
    <t>For Graph:</t>
    <phoneticPr fontId="8" type="noConversion"/>
  </si>
  <si>
    <t>Between</t>
    <phoneticPr fontId="8" type="noConversion"/>
  </si>
  <si>
    <t>Within</t>
    <phoneticPr fontId="8" type="noConversion"/>
  </si>
  <si>
    <t>Total</t>
    <phoneticPr fontId="8" type="noConversion"/>
  </si>
  <si>
    <t>For graph:</t>
    <phoneticPr fontId="8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</si>
  <si>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</si>
  <si>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</si>
  <si>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t>1%</t>
    <phoneticPr fontId="8" type="noConversion"/>
  </si>
  <si>
    <t>CI</t>
    <phoneticPr fontId="8" type="noConversion"/>
  </si>
  <si>
    <t>Condition</t>
    <phoneticPr fontId="8" type="noConversion"/>
  </si>
  <si>
    <t>Control</t>
    <phoneticPr fontId="8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</si>
  <si>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</si>
  <si>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t>Obt F</t>
    <phoneticPr fontId="8" type="noConversion"/>
  </si>
  <si>
    <t>Condition 4</t>
    <phoneticPr fontId="8" type="noConversion"/>
  </si>
  <si>
    <t>Condition 3</t>
    <phoneticPr fontId="8" type="noConversion"/>
  </si>
  <si>
    <t>Condition 3</t>
    <phoneticPr fontId="8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</si>
  <si>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</si>
  <si>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</si>
  <si>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</si>
  <si>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</si>
  <si>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</si>
  <si>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rFont val="Times"/>
      </rPr>
      <t>312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</si>
  <si>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113</t>
    </r>
    <r>
      <rPr>
        <sz val="18"/>
        <rFont val="Times"/>
      </rPr>
      <t xml:space="preserve"> =</t>
    </r>
  </si>
  <si>
    <r>
      <t>T</t>
    </r>
    <r>
      <rPr>
        <vertAlign val="subscript"/>
        <sz val="18"/>
        <rFont val="Times"/>
      </rPr>
      <t>11</t>
    </r>
    <r>
      <rPr>
        <sz val="18"/>
        <rFont val="Times"/>
      </rPr>
      <t xml:space="preserve"> = </t>
    </r>
  </si>
  <si>
    <r>
      <t>CI's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8" type="noConversion"/>
  </si>
  <si>
    <t>For Graphs:</t>
    <phoneticPr fontId="8" type="noConversion"/>
  </si>
  <si>
    <r>
      <t>M</t>
    </r>
    <r>
      <rPr>
        <vertAlign val="subscript"/>
        <sz val="18"/>
        <rFont val="Times"/>
      </rPr>
      <t>31</t>
    </r>
    <r>
      <rPr>
        <sz val="18"/>
        <rFont val="Times"/>
      </rPr>
      <t xml:space="preserve"> = </t>
    </r>
  </si>
  <si>
    <t>Cond 4</t>
    <phoneticPr fontId="8" type="noConversion"/>
  </si>
  <si>
    <t>H0 false</t>
    <phoneticPr fontId="8" type="noConversion"/>
  </si>
  <si>
    <r>
      <t>H</t>
    </r>
    <r>
      <rPr>
        <vertAlign val="subscript"/>
        <sz val="12"/>
        <rFont val="Times"/>
      </rPr>
      <t>0</t>
    </r>
    <r>
      <rPr>
        <sz val="12"/>
        <rFont val="Times"/>
      </rPr>
      <t xml:space="preserve"> true</t>
    </r>
    <phoneticPr fontId="8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</si>
  <si>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false</t>
    </r>
    <phoneticPr fontId="8" type="noConversion"/>
  </si>
  <si>
    <r>
      <t>H</t>
    </r>
    <r>
      <rPr>
        <vertAlign val="subscript"/>
        <sz val="24"/>
        <rFont val="Times"/>
      </rPr>
      <t>0</t>
    </r>
    <r>
      <rPr>
        <sz val="24"/>
        <rFont val="Times"/>
      </rPr>
      <t xml:space="preserve"> is true</t>
    </r>
    <phoneticPr fontId="8" type="noConversion"/>
  </si>
  <si>
    <t>Population mean temperature of TS people</t>
    <phoneticPr fontId="8" type="noConversion"/>
  </si>
  <si>
    <r>
      <t>s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</si>
  <si>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8" type="noConversion"/>
  </si>
  <si>
    <t>dfW =</t>
    <phoneticPr fontId="8" type="noConversion"/>
  </si>
  <si>
    <t>z is distributed with a standard deviation equal to the square root of [1/(n-3)]</t>
    <phoneticPr fontId="8" type="noConversion"/>
  </si>
  <si>
    <r>
      <t>To get r from z: r = (e</t>
    </r>
    <r>
      <rPr>
        <vertAlign val="superscript"/>
        <sz val="10"/>
        <rFont val="Verdana"/>
      </rPr>
      <t>2z</t>
    </r>
    <r>
      <rPr>
        <sz val="10"/>
        <rFont val="Verdana"/>
      </rPr>
      <t xml:space="preserve"> - 1)/(e</t>
    </r>
    <r>
      <rPr>
        <vertAlign val="superscript"/>
        <sz val="10"/>
        <rFont val="Verdana"/>
      </rPr>
      <t>2z</t>
    </r>
    <r>
      <rPr>
        <sz val="10"/>
        <rFont val="Verdana"/>
      </rPr>
      <t xml:space="preserve"> + 1)</t>
    </r>
    <phoneticPr fontId="8" type="noConversion"/>
  </si>
  <si>
    <r>
      <t xml:space="preserve">= actual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phoneticPr fontId="8" type="noConversion"/>
  </si>
  <si>
    <r>
      <t>T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</si>
  <si>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</si>
  <si>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j</t>
    </r>
    <phoneticPr fontId="8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</si>
  <si>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(HOV)</t>
    </r>
    <phoneticPr fontId="8" type="noConversion"/>
  </si>
  <si>
    <r>
      <t>CI</t>
    </r>
    <r>
      <rPr>
        <vertAlign val="subscript"/>
        <sz val="18"/>
        <color indexed="13"/>
        <rFont val="Times"/>
      </rPr>
      <t>j</t>
    </r>
    <r>
      <rPr>
        <sz val="18"/>
        <color indexed="13"/>
        <rFont val="Times"/>
      </rPr>
      <t xml:space="preserve"> (no HOV)</t>
    </r>
    <phoneticPr fontId="8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</si>
  <si>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</si>
  <si>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</si>
  <si>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</si>
  <si>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t>CIs: non-HOV</t>
    <phoneticPr fontId="8" type="noConversion"/>
  </si>
  <si>
    <t>Typist</t>
    <phoneticPr fontId="8" type="noConversion"/>
  </si>
  <si>
    <t>crit t =</t>
    <phoneticPr fontId="8" type="noConversion"/>
  </si>
  <si>
    <t>CALCULATIONS</t>
    <phoneticPr fontId="8" type="noConversion"/>
  </si>
  <si>
    <t>HYPOTHESIS TESTING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</si>
  <si>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</si>
  <si>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8" type="noConversion"/>
  </si>
  <si>
    <r>
      <t xml:space="preserve">actual </t>
    </r>
    <r>
      <rPr>
        <sz val="16"/>
        <rFont val="Symbol"/>
      </rPr>
      <t>s</t>
    </r>
    <r>
      <rPr>
        <vertAlign val="superscript"/>
        <sz val="16"/>
        <rFont val="Times"/>
      </rPr>
      <t>2</t>
    </r>
    <r>
      <rPr>
        <sz val="16"/>
        <rFont val="Times"/>
      </rPr>
      <t xml:space="preserve"> = </t>
    </r>
    <phoneticPr fontId="8" type="noConversion"/>
  </si>
  <si>
    <r>
      <t>S</t>
    </r>
    <r>
      <rPr>
        <sz val="18"/>
        <rFont val="Times"/>
      </rPr>
      <t>S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</t>
    </r>
    <phoneticPr fontId="8" type="noConversion"/>
  </si>
  <si>
    <t>Chapters</t>
    <phoneticPr fontId="8" type="noConversion"/>
  </si>
  <si>
    <t>Ralph</t>
    <phoneticPr fontId="8" type="noConversion"/>
  </si>
  <si>
    <t>Shirley</t>
    <phoneticPr fontId="8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</si>
  <si>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8" type="noConversion"/>
  </si>
  <si>
    <t>VP-Boeing</t>
    <phoneticPr fontId="8" type="noConversion"/>
  </si>
  <si>
    <t>CIs: HOV</t>
    <phoneticPr fontId="8" type="noConversion"/>
  </si>
  <si>
    <r>
      <t>est</t>
    </r>
    <r>
      <rPr>
        <sz val="18"/>
        <rFont val="Symbol"/>
      </rPr>
      <t>s</t>
    </r>
    <r>
      <rPr>
        <vertAlign val="subscript"/>
        <sz val="18"/>
        <rFont val="Times"/>
      </rPr>
      <t>M</t>
    </r>
    <r>
      <rPr>
        <sz val="18"/>
        <rFont val="Times"/>
      </rPr>
      <t xml:space="preserve"> = </t>
    </r>
    <phoneticPr fontId="8" type="noConversion"/>
  </si>
  <si>
    <t xml:space="preserve">J = </t>
    <phoneticPr fontId="8" type="noConversion"/>
  </si>
  <si>
    <t>p(x)</t>
  </si>
  <si>
    <t>CONFIDENCE INTERVALS</t>
    <phoneticPr fontId="8" type="noConversion"/>
  </si>
  <si>
    <t>Obt t =</t>
    <phoneticPr fontId="8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</si>
  <si>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</si>
  <si>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</si>
  <si>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</si>
  <si>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</si>
  <si>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</si>
  <si>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8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</si>
  <si>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8" type="noConversion"/>
  </si>
  <si>
    <t>(implies one-tailed test)</t>
    <phoneticPr fontId="8" type="noConversion"/>
  </si>
  <si>
    <t xml:space="preserve">Obtained F = </t>
    <phoneticPr fontId="8" type="noConversion"/>
  </si>
  <si>
    <t>Type of Alcohol</t>
    <phoneticPr fontId="8" type="noConversion"/>
  </si>
  <si>
    <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</si>
  <si>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r>
      <t>S</t>
    </r>
    <r>
      <rPr>
        <sz val="18"/>
        <color indexed="9"/>
        <rFont val="Times"/>
      </rPr>
      <t>T</t>
    </r>
    <r>
      <rPr>
        <vertAlign val="subscript"/>
        <sz val="18"/>
        <color indexed="9"/>
        <rFont val="Times"/>
      </rPr>
      <t>j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>/n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</si>
  <si>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t>WW</t>
    <phoneticPr fontId="8" type="noConversion"/>
  </si>
  <si>
    <t>S</t>
    <phoneticPr fontId="8" type="noConversion"/>
  </si>
  <si>
    <t>CIs: non-HOV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</si>
  <si>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</si>
  <si>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8" type="noConversion"/>
  </si>
  <si>
    <t>CI = ±</t>
    <phoneticPr fontId="8" type="noConversion"/>
  </si>
  <si>
    <t>HYPOTHESIS TESTING</t>
    <phoneticPr fontId="8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</si>
  <si>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</si>
  <si>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</si>
  <si>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t xml:space="preserve">df = </t>
    <phoneticPr fontId="8" type="noConversion"/>
  </si>
  <si>
    <t xml:space="preserve">Obt t = </t>
    <phoneticPr fontId="8" type="noConversion"/>
  </si>
  <si>
    <t>Factor 2: Delay Interval</t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</si>
  <si>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</si>
  <si>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t>Amount of incentive</t>
    <phoneticPr fontId="8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</si>
  <si>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8" type="noConversion"/>
  </si>
  <si>
    <t>Crit F</t>
    <phoneticPr fontId="8" type="noConversion"/>
  </si>
  <si>
    <t>Cols</t>
    <phoneticPr fontId="8" type="noConversion"/>
  </si>
  <si>
    <t>Source</t>
    <phoneticPr fontId="8" type="noConversion"/>
  </si>
  <si>
    <r>
      <t>m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</si>
  <si>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8" type="noConversion"/>
  </si>
  <si>
    <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</si>
  <si>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15</t>
    </r>
    <r>
      <rPr>
        <sz val="18"/>
        <color indexed="9"/>
        <rFont val="Times"/>
      </rPr>
      <t xml:space="preserve"> =</t>
    </r>
    <phoneticPr fontId="8" type="noConversion"/>
  </si>
  <si>
    <r>
      <t>s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8" type="noConversion"/>
  </si>
  <si>
    <r>
      <t>s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8" type="noConversion"/>
  </si>
  <si>
    <t>CALCULATIONS</t>
    <phoneticPr fontId="8" type="noConversion"/>
  </si>
  <si>
    <r>
      <t>x</t>
    </r>
    <r>
      <rPr>
        <vertAlign val="subscript"/>
        <sz val="18"/>
        <color indexed="9"/>
        <rFont val="Times"/>
      </rPr>
      <t>124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</si>
  <si>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224</t>
    </r>
    <r>
      <rPr>
        <sz val="18"/>
        <color indexed="9"/>
        <rFont val="Times"/>
      </rPr>
      <t xml:space="preserve"> =</t>
    </r>
    <phoneticPr fontId="8" type="noConversion"/>
  </si>
  <si>
    <t>CONFIDENCE INTERVALS</t>
    <phoneticPr fontId="8" type="noConversion"/>
  </si>
  <si>
    <t>CI (no HOV)</t>
    <phoneticPr fontId="8" type="noConversion"/>
  </si>
  <si>
    <t>Incentive</t>
    <phoneticPr fontId="8" type="noConversion"/>
  </si>
  <si>
    <r>
      <t>x</t>
    </r>
    <r>
      <rPr>
        <vertAlign val="subscript"/>
        <sz val="18"/>
        <color indexed="9"/>
        <rFont val="Times"/>
      </rPr>
      <t>125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</si>
  <si>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225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</si>
  <si>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325</t>
    </r>
    <r>
      <rPr>
        <sz val="18"/>
        <color indexed="9"/>
        <rFont val="Times"/>
      </rPr>
      <t xml:space="preserve"> =</t>
    </r>
    <phoneticPr fontId="8" type="noConversion"/>
  </si>
  <si>
    <t>Decision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</si>
  <si>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</si>
  <si>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rFont val="Times"/>
      </rPr>
      <t>212</t>
    </r>
    <r>
      <rPr>
        <sz val="18"/>
        <rFont val="Times"/>
      </rPr>
      <t xml:space="preserve"> =</t>
    </r>
  </si>
  <si>
    <t xml:space="preserve">Obt t = </t>
    <phoneticPr fontId="8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</si>
  <si>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 </t>
    </r>
    <phoneticPr fontId="8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</si>
  <si>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 </t>
    </r>
    <phoneticPr fontId="8" type="noConversion"/>
  </si>
  <si>
    <t>Dgrd</t>
    <phoneticPr fontId="8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</si>
  <si>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8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</si>
  <si>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8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</si>
  <si>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</si>
  <si>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</si>
  <si>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</si>
  <si>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</si>
  <si>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8" type="noConversion"/>
  </si>
  <si>
    <t>Level 2: One-week delayed test</t>
    <phoneticPr fontId="8" type="noConversion"/>
  </si>
  <si>
    <t>required</t>
    <phoneticPr fontId="8" type="noConversion"/>
  </si>
  <si>
    <t>Source</t>
    <phoneticPr fontId="8" type="noConversion"/>
  </si>
  <si>
    <t>df</t>
    <phoneticPr fontId="8" type="noConversion"/>
  </si>
  <si>
    <t>SS</t>
    <phoneticPr fontId="8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</si>
  <si>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</si>
  <si>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8" type="noConversion"/>
  </si>
  <si>
    <r>
      <t>CI around M</t>
    </r>
    <r>
      <rPr>
        <vertAlign val="subscript"/>
        <sz val="18"/>
        <color indexed="13"/>
        <rFont val="Times"/>
      </rPr>
      <t>Cj</t>
    </r>
    <r>
      <rPr>
        <sz val="18"/>
        <color indexed="13"/>
        <rFont val="Times"/>
      </rPr>
      <t xml:space="preserve"> = ±</t>
    </r>
    <phoneticPr fontId="8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</si>
  <si>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</si>
  <si>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8" type="noConversion"/>
  </si>
  <si>
    <t>Incentive (dollars per word)</t>
    <phoneticPr fontId="8" type="noConversion"/>
  </si>
  <si>
    <r>
      <t>x</t>
    </r>
    <r>
      <rPr>
        <vertAlign val="subscript"/>
        <sz val="18"/>
        <color indexed="9"/>
        <rFont val="Times"/>
      </rPr>
      <t>1</t>
    </r>
    <phoneticPr fontId="8" type="noConversion"/>
  </si>
  <si>
    <r>
      <t>x</t>
    </r>
    <r>
      <rPr>
        <vertAlign val="subscript"/>
        <sz val="18"/>
        <color indexed="9"/>
        <rFont val="Times"/>
      </rPr>
      <t>2</t>
    </r>
    <phoneticPr fontId="8" type="noConversion"/>
  </si>
  <si>
    <t>x =</t>
    <phoneticPr fontId="8" type="noConversion"/>
  </si>
  <si>
    <t>Person effect</t>
    <phoneticPr fontId="8" type="noConversion"/>
  </si>
  <si>
    <t>Person</t>
    <phoneticPr fontId="8" type="noConversion"/>
  </si>
  <si>
    <r>
      <t>M</t>
    </r>
    <r>
      <rPr>
        <vertAlign val="subscript"/>
        <sz val="18"/>
        <color indexed="9"/>
        <rFont val="Times"/>
      </rPr>
      <t>Cj</t>
    </r>
    <phoneticPr fontId="8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</si>
  <si>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</si>
  <si>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</si>
  <si>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</si>
  <si>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r>
      <t>a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</si>
  <si>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</si>
  <si>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8" type="noConversion"/>
  </si>
  <si>
    <t xml:space="preserve">N = </t>
    <phoneticPr fontId="8" type="noConversion"/>
  </si>
  <si>
    <t>SSW =</t>
    <phoneticPr fontId="8" type="noConversion"/>
  </si>
  <si>
    <r>
      <t>x</t>
    </r>
    <r>
      <rPr>
        <vertAlign val="subscript"/>
        <sz val="18"/>
        <color indexed="9"/>
        <rFont val="Times"/>
      </rPr>
      <t>315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</si>
  <si>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415</t>
    </r>
    <r>
      <rPr>
        <sz val="18"/>
        <color indexed="9"/>
        <rFont val="Times"/>
      </rPr>
      <t xml:space="preserve"> =</t>
    </r>
    <phoneticPr fontId="8" type="noConversion"/>
  </si>
  <si>
    <t xml:space="preserve">n = </t>
    <phoneticPr fontId="8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</si>
  <si>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</si>
  <si>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6"/>
        <color indexed="9"/>
        <rFont val="Times"/>
      </rPr>
      <t>1</t>
    </r>
    <phoneticPr fontId="8" type="noConversion"/>
  </si>
  <si>
    <t xml:space="preserve">n = </t>
    <phoneticPr fontId="8" type="noConversion"/>
  </si>
  <si>
    <r>
      <t>s</t>
    </r>
    <r>
      <rPr>
        <sz val="16"/>
        <color indexed="9"/>
        <rFont val="Times"/>
      </rPr>
      <t xml:space="preserve"> = </t>
    </r>
    <phoneticPr fontId="8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</si>
  <si>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8" type="noConversion"/>
  </si>
  <si>
    <t>NOTE: Obtained F is...</t>
    <phoneticPr fontId="8" type="noConversion"/>
  </si>
  <si>
    <t xml:space="preserve">Excel formula: </t>
    <phoneticPr fontId="8" type="noConversion"/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</si>
  <si>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</si>
  <si>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</si>
  <si>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</si>
  <si>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8" type="noConversion"/>
  </si>
  <si>
    <t xml:space="preserve"> </t>
    <phoneticPr fontId="8" type="noConversion"/>
  </si>
  <si>
    <t>Crit F</t>
    <phoneticPr fontId="8" type="noConversion"/>
  </si>
  <si>
    <t xml:space="preserve">ratio = </t>
    <phoneticPr fontId="8" type="noConversion"/>
  </si>
  <si>
    <r>
      <t>M</t>
    </r>
    <r>
      <rPr>
        <b/>
        <vertAlign val="subscript"/>
        <sz val="16"/>
        <color indexed="9"/>
        <rFont val="Times"/>
      </rPr>
      <t>4</t>
    </r>
    <phoneticPr fontId="8" type="noConversion"/>
  </si>
  <si>
    <r>
      <t>s</t>
    </r>
    <r>
      <rPr>
        <vertAlign val="subscript"/>
        <sz val="16"/>
        <color indexed="9"/>
        <rFont val="Times"/>
      </rPr>
      <t>M</t>
    </r>
    <r>
      <rPr>
        <sz val="16"/>
        <color indexed="9"/>
        <rFont val="Times"/>
      </rPr>
      <t xml:space="preserve"> = </t>
    </r>
    <phoneticPr fontId="8" type="noConversion"/>
  </si>
  <si>
    <r>
      <t xml:space="preserve"> 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</si>
  <si>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 xml:space="preserve"> 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</si>
  <si>
    <r>
      <t xml:space="preserve"> 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/2,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)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</si>
  <si>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>x</t>
    </r>
    <r>
      <rPr>
        <vertAlign val="subscript"/>
        <sz val="18"/>
        <rFont val="Times"/>
      </rPr>
      <t>213</t>
    </r>
    <r>
      <rPr>
        <sz val="18"/>
        <rFont val="Times"/>
      </rPr>
      <t xml:space="preserve"> =</t>
    </r>
  </si>
  <si>
    <r>
      <t>M</t>
    </r>
    <r>
      <rPr>
        <vertAlign val="subscript"/>
        <sz val="18"/>
        <rFont val="Times"/>
      </rPr>
      <t>11</t>
    </r>
    <r>
      <rPr>
        <sz val="18"/>
        <rFont val="Times"/>
      </rPr>
      <t xml:space="preserve"> = </t>
    </r>
  </si>
  <si>
    <r>
      <t>M</t>
    </r>
    <r>
      <rPr>
        <vertAlign val="subscript"/>
        <sz val="18"/>
        <rFont val="Times"/>
      </rPr>
      <t>21</t>
    </r>
    <r>
      <rPr>
        <sz val="18"/>
        <rFont val="Times"/>
      </rPr>
      <t xml:space="preserve"> = </t>
    </r>
  </si>
  <si>
    <t xml:space="preserve">Obtained F = </t>
    <phoneticPr fontId="8" type="noConversion"/>
  </si>
  <si>
    <r>
      <t>x</t>
    </r>
    <r>
      <rPr>
        <vertAlign val="subscript"/>
        <sz val="18"/>
        <rFont val="Times"/>
      </rPr>
      <t>122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</si>
  <si>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222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</si>
  <si>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322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</si>
  <si>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123</t>
    </r>
    <r>
      <rPr>
        <sz val="18"/>
        <rFont val="Times"/>
      </rPr>
      <t xml:space="preserve"> =</t>
    </r>
  </si>
  <si>
    <r>
      <t>M</t>
    </r>
    <r>
      <rPr>
        <vertAlign val="subscript"/>
        <sz val="18"/>
        <rFont val="Times"/>
      </rPr>
      <t>R1</t>
    </r>
    <r>
      <rPr>
        <sz val="18"/>
        <rFont val="Times"/>
      </rPr>
      <t xml:space="preserve"> = </t>
    </r>
  </si>
  <si>
    <r>
      <t>x</t>
    </r>
    <r>
      <rPr>
        <vertAlign val="subscript"/>
        <sz val="18"/>
        <rFont val="Times"/>
      </rPr>
      <t>121</t>
    </r>
    <r>
      <rPr>
        <sz val="18"/>
        <rFont val="Times"/>
      </rPr>
      <t xml:space="preserve"> =</t>
    </r>
  </si>
  <si>
    <r>
      <t>T</t>
    </r>
    <r>
      <rPr>
        <vertAlign val="subscript"/>
        <sz val="18"/>
        <rFont val="Times"/>
      </rPr>
      <t>22</t>
    </r>
    <r>
      <rPr>
        <sz val="18"/>
        <rFont val="Times"/>
      </rPr>
      <t xml:space="preserve"> = </t>
    </r>
  </si>
  <si>
    <r>
      <t>T</t>
    </r>
    <r>
      <rPr>
        <vertAlign val="subscript"/>
        <sz val="18"/>
        <rFont val="Times"/>
      </rPr>
      <t>32</t>
    </r>
    <r>
      <rPr>
        <sz val="18"/>
        <rFont val="Times"/>
      </rPr>
      <t xml:space="preserve"> = </t>
    </r>
  </si>
  <si>
    <r>
      <t>x</t>
    </r>
    <r>
      <rPr>
        <vertAlign val="subscript"/>
        <sz val="18"/>
        <color indexed="9"/>
        <rFont val="Times"/>
      </rPr>
      <t>45</t>
    </r>
    <r>
      <rPr>
        <sz val="18"/>
        <color indexed="9"/>
        <rFont val="Times"/>
      </rPr>
      <t xml:space="preserve"> =</t>
    </r>
    <phoneticPr fontId="8" type="noConversion"/>
  </si>
  <si>
    <t>Btwn</t>
    <phoneticPr fontId="8" type="noConversion"/>
  </si>
  <si>
    <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phoneticPr fontId="8" type="noConversion"/>
  </si>
  <si>
    <t>$1/word</t>
    <phoneticPr fontId="8" type="noConversion"/>
  </si>
  <si>
    <r>
      <t>T</t>
    </r>
    <r>
      <rPr>
        <vertAlign val="subscript"/>
        <sz val="18"/>
        <rFont val="Times"/>
      </rPr>
      <t>R2</t>
    </r>
    <r>
      <rPr>
        <sz val="18"/>
        <rFont val="Times"/>
      </rPr>
      <t xml:space="preserve"> = </t>
    </r>
  </si>
  <si>
    <t>MSW =</t>
    <phoneticPr fontId="8" type="noConversion"/>
  </si>
  <si>
    <t>CIs: HOV</t>
    <phoneticPr fontId="8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</si>
  <si>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8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</si>
  <si>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</si>
  <si>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</si>
  <si>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</si>
  <si>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</si>
  <si>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</t>
    </r>
    <phoneticPr fontId="8" type="noConversion"/>
  </si>
  <si>
    <t>Scotch</t>
    <phoneticPr fontId="8" type="noConversion"/>
  </si>
  <si>
    <t>Vodka</t>
    <phoneticPr fontId="8" type="noConversion"/>
  </si>
  <si>
    <t>M =</t>
    <phoneticPr fontId="8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</si>
  <si>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8" type="noConversion"/>
  </si>
  <si>
    <r>
      <t>M</t>
    </r>
    <r>
      <rPr>
        <vertAlign val="subscript"/>
        <sz val="18"/>
        <rFont val="Times"/>
      </rPr>
      <t>32</t>
    </r>
    <r>
      <rPr>
        <sz val="18"/>
        <rFont val="Times"/>
      </rPr>
      <t xml:space="preserve"> = </t>
    </r>
  </si>
  <si>
    <r>
      <t>M</t>
    </r>
    <r>
      <rPr>
        <vertAlign val="subscript"/>
        <sz val="18"/>
        <rFont val="Times"/>
      </rPr>
      <t>R2</t>
    </r>
    <r>
      <rPr>
        <sz val="18"/>
        <rFont val="Times"/>
      </rPr>
      <t xml:space="preserve"> = </t>
    </r>
  </si>
  <si>
    <r>
      <t>T</t>
    </r>
    <r>
      <rPr>
        <vertAlign val="subscript"/>
        <sz val="18"/>
        <rFont val="Times"/>
      </rPr>
      <t>C1</t>
    </r>
    <r>
      <rPr>
        <sz val="18"/>
        <rFont val="Times"/>
      </rPr>
      <t xml:space="preserve"> = </t>
    </r>
  </si>
  <si>
    <t>Person</t>
    <phoneticPr fontId="8" type="noConversion"/>
  </si>
  <si>
    <t>Temperature</t>
    <phoneticPr fontId="8" type="noConversion"/>
  </si>
  <si>
    <t>= n-1</t>
    <phoneticPr fontId="8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</si>
  <si>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8" type="noConversion"/>
  </si>
  <si>
    <t>= SS/df</t>
    <phoneticPr fontId="8" type="noConversion"/>
  </si>
  <si>
    <t>Crit F</t>
    <phoneticPr fontId="8" type="noConversion"/>
  </si>
  <si>
    <t>Within</t>
    <phoneticPr fontId="8" type="noConversion"/>
  </si>
  <si>
    <t>crit t =</t>
    <phoneticPr fontId="8" type="noConversion"/>
  </si>
  <si>
    <t>Obt F</t>
    <phoneticPr fontId="8" type="noConversion"/>
  </si>
  <si>
    <r>
      <t>a</t>
    </r>
    <r>
      <rPr>
        <sz val="18"/>
        <color indexed="9"/>
        <rFont val="Times"/>
      </rPr>
      <t xml:space="preserve"> =</t>
    </r>
    <phoneticPr fontId="8" type="noConversion"/>
  </si>
  <si>
    <t>ANOVA</t>
    <phoneticPr fontId="8" type="noConversion"/>
  </si>
  <si>
    <t>Source</t>
    <phoneticPr fontId="8" type="noConversion"/>
  </si>
  <si>
    <r>
      <t>SS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</si>
  <si>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</si>
  <si>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</si>
  <si>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</si>
  <si>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</si>
  <si>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df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</si>
  <si>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Means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</si>
  <si>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Between</t>
    </r>
    <r>
      <rPr>
        <sz val="18"/>
        <rFont val="Times"/>
      </rPr>
      <t xml:space="preserve"> = </t>
    </r>
  </si>
  <si>
    <r>
      <t>est</t>
    </r>
    <r>
      <rPr>
        <sz val="18"/>
        <rFont val="Symbol"/>
      </rPr>
      <t>s</t>
    </r>
    <r>
      <rPr>
        <vertAlign val="superscript"/>
        <sz val="18"/>
        <rFont val="Times"/>
      </rPr>
      <t>2</t>
    </r>
    <r>
      <rPr>
        <vertAlign val="subscript"/>
        <sz val="18"/>
        <rFont val="Times"/>
      </rPr>
      <t>Within</t>
    </r>
    <r>
      <rPr>
        <sz val="18"/>
        <rFont val="Times"/>
      </rPr>
      <t xml:space="preserve"> = </t>
    </r>
  </si>
  <si>
    <t xml:space="preserve"> =</t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</si>
  <si>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</si>
  <si>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</si>
  <si>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rFont val="Times"/>
      </rPr>
      <t>C2</t>
    </r>
    <r>
      <rPr>
        <sz val="18"/>
        <rFont val="Times"/>
      </rPr>
      <t xml:space="preserve"> = </t>
    </r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</si>
  <si>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8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</si>
  <si>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8" type="noConversion"/>
  </si>
  <si>
    <t>CI magnitude = ±</t>
    <phoneticPr fontId="8" type="noConversion"/>
  </si>
  <si>
    <t>CI high =</t>
    <phoneticPr fontId="8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</si>
  <si>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</si>
  <si>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</si>
  <si>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</si>
  <si>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8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</si>
  <si>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8" type="noConversion"/>
  </si>
  <si>
    <r>
      <t xml:space="preserve">    H</t>
    </r>
    <r>
      <rPr>
        <vertAlign val="subscript"/>
        <sz val="18"/>
        <color indexed="9"/>
        <rFont val="Times"/>
      </rPr>
      <t>0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8" type="noConversion"/>
  </si>
  <si>
    <t>V</t>
    <phoneticPr fontId="8" type="noConversion"/>
  </si>
  <si>
    <r>
      <t>n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  <phoneticPr fontId="8" type="noConversion"/>
  </si>
  <si>
    <t>Totals:</t>
    <phoneticPr fontId="8" type="noConversion"/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</si>
  <si>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</si>
  <si>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</si>
  <si>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color indexed="9"/>
        <rFont val="Times"/>
      </rPr>
      <t>3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</si>
  <si>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color indexed="9"/>
        <rFont val="Times"/>
      </rPr>
      <t>4</t>
    </r>
    <r>
      <rPr>
        <sz val="18"/>
        <color indexed="9"/>
        <rFont val="Times"/>
      </rPr>
      <t xml:space="preserve"> =</t>
    </r>
    <phoneticPr fontId="8" type="noConversion"/>
  </si>
  <si>
    <t>T =</t>
    <phoneticPr fontId="8" type="noConversion"/>
  </si>
  <si>
    <t>Means:</t>
    <phoneticPr fontId="8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</si>
  <si>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8" type="noConversion"/>
  </si>
  <si>
    <t>df</t>
    <phoneticPr fontId="8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</si>
  <si>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8" type="noConversion"/>
  </si>
  <si>
    <t xml:space="preserve">M = </t>
    <phoneticPr fontId="8" type="noConversion"/>
  </si>
  <si>
    <t>CALCULATIONS</t>
    <phoneticPr fontId="8" type="noConversion"/>
  </si>
  <si>
    <t>T =</t>
    <phoneticPr fontId="8" type="noConversion"/>
  </si>
  <si>
    <t xml:space="preserve">n = </t>
    <phoneticPr fontId="8" type="noConversion"/>
  </si>
  <si>
    <t>SS =</t>
    <phoneticPr fontId="8" type="noConversion"/>
  </si>
  <si>
    <t>df =</t>
    <phoneticPr fontId="8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</si>
  <si>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8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</si>
  <si>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</si>
  <si>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</si>
  <si>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8" type="noConversion"/>
  </si>
  <si>
    <t>Rows</t>
    <phoneticPr fontId="8" type="noConversion"/>
  </si>
  <si>
    <r>
      <t>a</t>
    </r>
    <r>
      <rPr>
        <sz val="18"/>
        <color indexed="9"/>
        <rFont val="Times"/>
      </rPr>
      <t xml:space="preserve"> = </t>
    </r>
    <phoneticPr fontId="8" type="noConversion"/>
  </si>
  <si>
    <t>(optional)</t>
    <phoneticPr fontId="8" type="noConversion"/>
  </si>
  <si>
    <t>CI low =</t>
    <phoneticPr fontId="8" type="noConversion"/>
  </si>
  <si>
    <r>
      <t>s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</si>
  <si>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sz val="18"/>
        <color indexed="9"/>
        <rFont val="Times"/>
      </rPr>
      <t>'s</t>
    </r>
    <phoneticPr fontId="8" type="noConversion"/>
  </si>
  <si>
    <r>
      <t>x</t>
    </r>
    <r>
      <rPr>
        <vertAlign val="subscript"/>
        <sz val="18"/>
        <color indexed="9"/>
        <rFont val="Times"/>
      </rPr>
      <t>25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</si>
  <si>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16</t>
    </r>
    <r>
      <rPr>
        <sz val="18"/>
        <color indexed="9"/>
        <rFont val="Times"/>
      </rPr>
      <t xml:space="preserve"> =</t>
    </r>
    <phoneticPr fontId="8" type="noConversion"/>
  </si>
  <si>
    <t>Amount of Degradation (percent pixels removed)</t>
    <phoneticPr fontId="8" type="noConversion"/>
  </si>
  <si>
    <t>15%</t>
    <phoneticPr fontId="8" type="noConversion"/>
  </si>
  <si>
    <t>Rotated</t>
    <phoneticPr fontId="8" type="noConversion"/>
  </si>
  <si>
    <t>For Graph:</t>
    <phoneticPr fontId="8" type="noConversion"/>
  </si>
  <si>
    <t>CI (HOV)</t>
    <phoneticPr fontId="8" type="noConversion"/>
  </si>
  <si>
    <t>30%</t>
    <phoneticPr fontId="8" type="noConversion"/>
  </si>
  <si>
    <t>Crit F</t>
    <phoneticPr fontId="8" type="noConversion"/>
  </si>
  <si>
    <r>
      <t>M</t>
    </r>
    <r>
      <rPr>
        <vertAlign val="subscript"/>
        <sz val="18"/>
        <color indexed="9"/>
        <rFont val="Times"/>
      </rPr>
      <t>j1</t>
    </r>
    <phoneticPr fontId="8" type="noConversion"/>
  </si>
  <si>
    <r>
      <t>M</t>
    </r>
    <r>
      <rPr>
        <vertAlign val="subscript"/>
        <sz val="18"/>
        <color indexed="9"/>
        <rFont val="Times"/>
      </rPr>
      <t>j2</t>
    </r>
    <phoneticPr fontId="8" type="noConversion"/>
  </si>
  <si>
    <r>
      <t>x</t>
    </r>
    <r>
      <rPr>
        <vertAlign val="subscript"/>
        <sz val="18"/>
        <color indexed="9"/>
        <rFont val="Times"/>
      </rPr>
      <t>43</t>
    </r>
    <r>
      <rPr>
        <sz val="18"/>
        <color indexed="9"/>
        <rFont val="Times"/>
      </rPr>
      <t xml:space="preserve"> =</t>
    </r>
    <phoneticPr fontId="8" type="noConversion"/>
  </si>
  <si>
    <t xml:space="preserve">CI % = </t>
    <phoneticPr fontId="8" type="noConversion"/>
  </si>
  <si>
    <t xml:space="preserve">Lower: </t>
    <phoneticPr fontId="8" type="noConversion"/>
  </si>
  <si>
    <t xml:space="preserve">Upper: </t>
    <phoneticPr fontId="8" type="noConversion"/>
  </si>
  <si>
    <t>CI</t>
    <phoneticPr fontId="8" type="noConversion"/>
  </si>
  <si>
    <t>Person</t>
    <phoneticPr fontId="8" type="noConversion"/>
  </si>
  <si>
    <t>The real world...</t>
    <phoneticPr fontId="8" type="noConversion"/>
  </si>
  <si>
    <r>
      <t>m</t>
    </r>
    <r>
      <rPr>
        <vertAlign val="subscript"/>
        <sz val="18"/>
        <color indexed="9"/>
        <rFont val="Times"/>
      </rPr>
      <t>N</t>
    </r>
    <r>
      <rPr>
        <sz val="18"/>
        <color indexed="9"/>
        <rFont val="Times"/>
      </rPr>
      <t xml:space="preserve"> = </t>
    </r>
    <phoneticPr fontId="8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</si>
  <si>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8" type="noConversion"/>
  </si>
  <si>
    <t xml:space="preserve">J = </t>
    <phoneticPr fontId="8" type="noConversion"/>
  </si>
  <si>
    <t xml:space="preserve">n = </t>
    <phoneticPr fontId="8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</si>
  <si>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8" type="noConversion"/>
  </si>
  <si>
    <r>
      <t>x</t>
    </r>
    <r>
      <rPr>
        <vertAlign val="subscript"/>
        <sz val="18"/>
        <color indexed="9"/>
        <rFont val="Times"/>
      </rPr>
      <t>27</t>
    </r>
    <r>
      <rPr>
        <sz val="18"/>
        <color indexed="9"/>
        <rFont val="Times"/>
      </rPr>
      <t xml:space="preserve"> =</t>
    </r>
    <phoneticPr fontId="8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</si>
  <si>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</si>
  <si>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</si>
  <si>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</si>
  <si>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</si>
  <si>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</si>
  <si>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</si>
  <si>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</si>
  <si>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</si>
  <si>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8" type="noConversion"/>
  </si>
  <si>
    <t>How to generate data</t>
    <phoneticPr fontId="8" type="noConversion"/>
  </si>
  <si>
    <t>45%</t>
    <phoneticPr fontId="8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</si>
  <si>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</si>
  <si>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</si>
  <si>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18</t>
    </r>
    <r>
      <rPr>
        <sz val="18"/>
        <color indexed="9"/>
        <rFont val="Times"/>
      </rPr>
      <t xml:space="preserve"> =</t>
    </r>
    <phoneticPr fontId="8" type="noConversion"/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</si>
  <si>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8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</si>
  <si>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</si>
  <si>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</si>
  <si>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</si>
  <si>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</si>
  <si>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</si>
  <si>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rFont val="Times"/>
      </rPr>
      <t>j</t>
    </r>
    <r>
      <rPr>
        <sz val="18"/>
        <rFont val="Times"/>
      </rPr>
      <t>s =</t>
    </r>
    <phoneticPr fontId="8" type="noConversion"/>
  </si>
  <si>
    <r>
      <t>T</t>
    </r>
    <r>
      <rPr>
        <vertAlign val="subscript"/>
        <sz val="18"/>
        <rFont val="Times"/>
      </rPr>
      <t>j</t>
    </r>
    <r>
      <rPr>
        <sz val="18"/>
        <rFont val="Times"/>
      </rPr>
      <t>s =</t>
    </r>
    <phoneticPr fontId="8" type="noConversion"/>
  </si>
  <si>
    <t>T =</t>
    <phoneticPr fontId="8" type="noConversion"/>
  </si>
  <si>
    <t>N =</t>
    <phoneticPr fontId="8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</si>
  <si>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8" type="noConversion"/>
  </si>
  <si>
    <t>Fundamental Equations</t>
    <phoneticPr fontId="8" type="noConversion"/>
  </si>
  <si>
    <t>n =</t>
    <phoneticPr fontId="8" type="noConversion"/>
  </si>
  <si>
    <t>Set size =</t>
    <phoneticPr fontId="8" type="noConversion"/>
  </si>
  <si>
    <r>
      <t>a</t>
    </r>
    <r>
      <rPr>
        <sz val="18"/>
        <color indexed="8"/>
        <rFont val="Times"/>
      </rPr>
      <t xml:space="preserve"> =</t>
    </r>
    <phoneticPr fontId="8" type="noConversion"/>
  </si>
  <si>
    <t>CI percent =</t>
    <phoneticPr fontId="8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</si>
  <si>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</si>
  <si>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8" type="noConversion"/>
  </si>
  <si>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8" type="noConversion"/>
  </si>
  <si>
    <r>
      <t xml:space="preserve">= actual </t>
    </r>
    <r>
      <rPr>
        <sz val="18"/>
        <color indexed="9"/>
        <rFont val="Symbol"/>
      </rPr>
      <t>s</t>
    </r>
    <phoneticPr fontId="8" type="noConversion"/>
  </si>
  <si>
    <t xml:space="preserve">Crit t = </t>
    <phoneticPr fontId="8" type="noConversion"/>
  </si>
  <si>
    <t>SS =</t>
    <phoneticPr fontId="8" type="noConversion"/>
  </si>
  <si>
    <t>df =</t>
    <phoneticPr fontId="8" type="noConversion"/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</si>
  <si>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8" type="noConversion"/>
  </si>
  <si>
    <r>
      <t>M</t>
    </r>
    <r>
      <rPr>
        <b/>
        <vertAlign val="subscript"/>
        <sz val="16"/>
        <color indexed="9"/>
        <rFont val="Times"/>
      </rPr>
      <t>3</t>
    </r>
    <phoneticPr fontId="8" type="noConversion"/>
  </si>
  <si>
    <r>
      <t>M</t>
    </r>
    <r>
      <rPr>
        <b/>
        <vertAlign val="subscript"/>
        <sz val="16"/>
        <color indexed="9"/>
        <rFont val="Times"/>
      </rPr>
      <t>2</t>
    </r>
    <phoneticPr fontId="8" type="noConversion"/>
  </si>
  <si>
    <r>
      <t>M</t>
    </r>
    <r>
      <rPr>
        <b/>
        <vertAlign val="subscript"/>
        <sz val="16"/>
        <color indexed="9"/>
        <rFont val="Times"/>
      </rPr>
      <t>1</t>
    </r>
    <phoneticPr fontId="8" type="noConversion"/>
  </si>
  <si>
    <r>
      <t>s</t>
    </r>
    <r>
      <rPr>
        <vertAlign val="superscript"/>
        <sz val="16"/>
        <color indexed="9"/>
        <rFont val="Times"/>
      </rPr>
      <t>2</t>
    </r>
    <r>
      <rPr>
        <sz val="16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</si>
  <si>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rFont val="Times"/>
      </rPr>
      <t>311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</si>
  <si>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112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</si>
  <si>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  <phoneticPr fontId="8" type="noConversion"/>
  </si>
  <si>
    <t>Factor 1: Amount of Degradation (percent pixels removed)</t>
    <phoneticPr fontId="8" type="noConversion"/>
  </si>
  <si>
    <t>Delayed test</t>
    <phoneticPr fontId="8" type="noConversion"/>
  </si>
  <si>
    <t xml:space="preserve">Immediate test  </t>
    <phoneticPr fontId="8" type="noConversion"/>
  </si>
  <si>
    <t>df =</t>
    <phoneticPr fontId="8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</si>
  <si>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+ 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8" type="noConversion"/>
  </si>
  <si>
    <t>From equations</t>
    <phoneticPr fontId="8" type="noConversion"/>
  </si>
  <si>
    <r>
      <t xml:space="preserve"> 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/2,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if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&gt;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</si>
  <si>
    <r>
      <t>x</t>
    </r>
    <r>
      <rPr>
        <vertAlign val="subscript"/>
        <sz val="18"/>
        <rFont val="Times"/>
      </rPr>
      <t>223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</si>
  <si>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323</t>
    </r>
    <r>
      <rPr>
        <sz val="18"/>
        <rFont val="Times"/>
      </rPr>
      <t xml:space="preserve"> =</t>
    </r>
  </si>
  <si>
    <t>Relearning Condtion</t>
    <phoneticPr fontId="8" type="noConversion"/>
  </si>
  <si>
    <t>Control</t>
    <phoneticPr fontId="8" type="noConversion"/>
  </si>
  <si>
    <r>
      <t>x</t>
    </r>
    <r>
      <rPr>
        <vertAlign val="subscript"/>
        <sz val="18"/>
        <rFont val="Times"/>
      </rPr>
      <t>221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</si>
  <si>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321</t>
    </r>
    <r>
      <rPr>
        <sz val="18"/>
        <rFont val="Times"/>
      </rPr>
      <t xml:space="preserve"> =</t>
    </r>
  </si>
  <si>
    <r>
      <t>CIs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8" type="noConversion"/>
  </si>
  <si>
    <t>MS</t>
    <phoneticPr fontId="8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</si>
  <si>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</si>
  <si>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rFont val="Times"/>
      </rPr>
      <t>12</t>
    </r>
    <r>
      <rPr>
        <sz val="18"/>
        <rFont val="Times"/>
      </rPr>
      <t xml:space="preserve"> = </t>
    </r>
  </si>
  <si>
    <t>Rotated</t>
    <phoneticPr fontId="8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</si>
  <si>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</si>
  <si>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</si>
  <si>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15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</si>
  <si>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16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</si>
  <si>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sz val="18"/>
        <color indexed="9"/>
        <rFont val="Times"/>
      </rPr>
      <t xml:space="preserve"> = </t>
    </r>
    <phoneticPr fontId="8" type="noConversion"/>
  </si>
  <si>
    <t>K =</t>
    <phoneticPr fontId="8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</si>
  <si>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8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</si>
  <si>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</si>
  <si>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</si>
  <si>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</si>
  <si>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</si>
  <si>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</si>
  <si>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rFont val="Times"/>
      </rPr>
      <t>12</t>
    </r>
    <r>
      <rPr>
        <sz val="18"/>
        <rFont val="Times"/>
      </rPr>
      <t xml:space="preserve"> = </t>
    </r>
  </si>
  <si>
    <r>
      <t>M</t>
    </r>
    <r>
      <rPr>
        <vertAlign val="subscript"/>
        <sz val="18"/>
        <rFont val="Times"/>
      </rPr>
      <t>22</t>
    </r>
    <r>
      <rPr>
        <sz val="18"/>
        <rFont val="Times"/>
      </rPr>
      <t xml:space="preserve"> = </t>
    </r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</si>
  <si>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</si>
  <si>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t>The real world...</t>
    <phoneticPr fontId="8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</si>
  <si>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8" type="noConversion"/>
  </si>
  <si>
    <t>Population mean temperature of normal people</t>
    <phoneticPr fontId="8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</si>
  <si>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8" type="noConversion"/>
  </si>
  <si>
    <t>Population mean temperature of TS people</t>
    <phoneticPr fontId="8" type="noConversion"/>
  </si>
  <si>
    <t>non-HOV across two rows</t>
    <phoneticPr fontId="8" type="noConversion"/>
  </si>
  <si>
    <t>Degradation</t>
    <phoneticPr fontId="8" type="noConversion"/>
  </si>
  <si>
    <t>Letters</t>
    <phoneticPr fontId="8" type="noConversion"/>
  </si>
  <si>
    <r>
      <t>SS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</si>
  <si>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</si>
  <si>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8" type="noConversion"/>
  </si>
  <si>
    <t>From Excel</t>
    <phoneticPr fontId="8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</si>
  <si>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>/S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phoneticPr fontId="8" type="noConversion"/>
  </si>
  <si>
    <t xml:space="preserve">b = slope = </t>
    <phoneticPr fontId="8" type="noConversion"/>
  </si>
  <si>
    <t xml:space="preserve">a = intercept = </t>
    <phoneticPr fontId="8" type="noConversion"/>
  </si>
  <si>
    <t xml:space="preserve">r = </t>
    <phoneticPr fontId="8" type="noConversion"/>
  </si>
  <si>
    <r>
      <t>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8" type="noConversion"/>
  </si>
  <si>
    <t>Confidence interval</t>
    <phoneticPr fontId="8" type="noConversion"/>
  </si>
  <si>
    <t xml:space="preserve">Conf level = </t>
    <phoneticPr fontId="8" type="noConversion"/>
  </si>
  <si>
    <t xml:space="preserve">obt z = </t>
    <phoneticPr fontId="8" type="noConversion"/>
  </si>
  <si>
    <t xml:space="preserve">z SD = </t>
    <phoneticPr fontId="8" type="noConversion"/>
  </si>
  <si>
    <t xml:space="preserve">crit z = </t>
    <phoneticPr fontId="8" type="noConversion"/>
  </si>
  <si>
    <t xml:space="preserve">upper z = </t>
    <phoneticPr fontId="8" type="noConversion"/>
  </si>
  <si>
    <t xml:space="preserve">lower z = </t>
    <phoneticPr fontId="8" type="noConversion"/>
  </si>
  <si>
    <t>Decision:</t>
    <phoneticPr fontId="8" type="noConversion"/>
  </si>
  <si>
    <t>CI high =</t>
    <phoneticPr fontId="8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</si>
  <si>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8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</si>
  <si>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8" type="noConversion"/>
  </si>
  <si>
    <r>
      <t>T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</si>
  <si>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224</t>
    </r>
    <r>
      <rPr>
        <sz val="18"/>
        <color indexed="9"/>
        <rFont val="Times"/>
      </rPr>
      <t xml:space="preserve"> =</t>
    </r>
    <phoneticPr fontId="8" type="noConversion"/>
  </si>
  <si>
    <t>SS</t>
    <phoneticPr fontId="8" type="noConversion"/>
  </si>
  <si>
    <t>MS</t>
    <phoneticPr fontId="8" type="noConversion"/>
  </si>
  <si>
    <t>Obt F</t>
    <phoneticPr fontId="8" type="noConversion"/>
  </si>
  <si>
    <t>HYPOTHESIS TESTING</t>
    <phoneticPr fontId="8" type="noConversion"/>
  </si>
  <si>
    <r>
      <t>a</t>
    </r>
    <r>
      <rPr>
        <sz val="18"/>
        <color indexed="9"/>
        <rFont val="Times"/>
      </rPr>
      <t xml:space="preserve"> =</t>
    </r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</si>
  <si>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8" type="noConversion"/>
  </si>
  <si>
    <t>RW</t>
    <phoneticPr fontId="8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</si>
  <si>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</si>
  <si>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</si>
  <si>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8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</si>
  <si>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XY = </t>
    </r>
    <phoneticPr fontId="8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</si>
  <si>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8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</si>
  <si>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</si>
  <si>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8" type="noConversion"/>
  </si>
  <si>
    <r>
      <t>T</t>
    </r>
    <r>
      <rPr>
        <vertAlign val="subscript"/>
        <sz val="18"/>
        <rFont val="Times"/>
      </rPr>
      <t>C3</t>
    </r>
    <r>
      <rPr>
        <sz val="18"/>
        <rFont val="Times"/>
      </rPr>
      <t xml:space="preserve"> = </t>
    </r>
  </si>
  <si>
    <t>T =</t>
  </si>
  <si>
    <r>
      <t>M</t>
    </r>
    <r>
      <rPr>
        <vertAlign val="subscript"/>
        <sz val="18"/>
        <rFont val="Times"/>
      </rPr>
      <t>C1</t>
    </r>
    <r>
      <rPr>
        <sz val="18"/>
        <rFont val="Times"/>
      </rPr>
      <t xml:space="preserve"> = </t>
    </r>
  </si>
  <si>
    <r>
      <t>M</t>
    </r>
    <r>
      <rPr>
        <vertAlign val="subscript"/>
        <sz val="18"/>
        <rFont val="Times"/>
      </rPr>
      <t>C2</t>
    </r>
    <r>
      <rPr>
        <sz val="18"/>
        <rFont val="Times"/>
      </rPr>
      <t xml:space="preserve"> = </t>
    </r>
  </si>
  <si>
    <r>
      <t>M</t>
    </r>
    <r>
      <rPr>
        <vertAlign val="subscript"/>
        <sz val="18"/>
        <rFont val="Times"/>
      </rPr>
      <t>C3</t>
    </r>
    <r>
      <rPr>
        <sz val="18"/>
        <rFont val="Times"/>
      </rPr>
      <t xml:space="preserve"> = </t>
    </r>
  </si>
  <si>
    <t>M =</t>
  </si>
  <si>
    <t>N =</t>
  </si>
  <si>
    <t>Decision</t>
    <phoneticPr fontId="8" type="noConversion"/>
  </si>
  <si>
    <r>
      <t>m</t>
    </r>
    <r>
      <rPr>
        <vertAlign val="subscript"/>
        <sz val="18"/>
        <color indexed="9"/>
        <rFont val="Times"/>
      </rPr>
      <t>X2-X1</t>
    </r>
    <phoneticPr fontId="8" type="noConversion"/>
  </si>
  <si>
    <r>
      <t>M</t>
    </r>
    <r>
      <rPr>
        <vertAlign val="subscript"/>
        <sz val="18"/>
        <color indexed="9"/>
        <rFont val="Times"/>
      </rPr>
      <t>X2-X1</t>
    </r>
    <phoneticPr fontId="8" type="noConversion"/>
  </si>
  <si>
    <r>
      <t>m</t>
    </r>
    <r>
      <rPr>
        <vertAlign val="subscript"/>
        <sz val="18"/>
        <color indexed="9"/>
        <rFont val="Times"/>
      </rPr>
      <t>TS</t>
    </r>
    <phoneticPr fontId="8" type="noConversion"/>
  </si>
  <si>
    <r>
      <t>M</t>
    </r>
    <r>
      <rPr>
        <vertAlign val="subscript"/>
        <sz val="18"/>
        <color indexed="9"/>
        <rFont val="Times"/>
      </rPr>
      <t>TS</t>
    </r>
    <phoneticPr fontId="8" type="noConversion"/>
  </si>
  <si>
    <r>
      <t>T</t>
    </r>
    <r>
      <rPr>
        <vertAlign val="subscript"/>
        <sz val="18"/>
        <rFont val="Times"/>
      </rPr>
      <t>21</t>
    </r>
    <r>
      <rPr>
        <sz val="18"/>
        <rFont val="Times"/>
      </rPr>
      <t xml:space="preserve"> = </t>
    </r>
  </si>
  <si>
    <r>
      <t>T</t>
    </r>
    <r>
      <rPr>
        <vertAlign val="subscript"/>
        <sz val="18"/>
        <rFont val="Times"/>
      </rPr>
      <t>31</t>
    </r>
    <r>
      <rPr>
        <sz val="18"/>
        <rFont val="Times"/>
      </rPr>
      <t xml:space="preserve"> = </t>
    </r>
  </si>
  <si>
    <r>
      <t>T</t>
    </r>
    <r>
      <rPr>
        <vertAlign val="subscript"/>
        <sz val="18"/>
        <rFont val="Times"/>
      </rPr>
      <t>R1</t>
    </r>
    <r>
      <rPr>
        <sz val="18"/>
        <rFont val="Times"/>
      </rPr>
      <t xml:space="preserve"> = </t>
    </r>
  </si>
  <si>
    <t>For Graph:</t>
    <phoneticPr fontId="8" type="noConversion"/>
  </si>
  <si>
    <r>
      <t>MSW =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</si>
  <si>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t>CI low =</t>
    <phoneticPr fontId="8" type="noConversion"/>
  </si>
  <si>
    <t>Level 1: 1</t>
    <phoneticPr fontId="8" type="noConversion"/>
  </si>
  <si>
    <t>T =</t>
    <phoneticPr fontId="8" type="noConversion"/>
  </si>
  <si>
    <t xml:space="preserve">Upper: </t>
    <phoneticPr fontId="8" type="noConversion"/>
  </si>
  <si>
    <t xml:space="preserve">Lower: 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</si>
  <si>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</si>
  <si>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28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</si>
  <si>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</si>
  <si>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8" type="noConversion"/>
  </si>
  <si>
    <r>
      <t>m</t>
    </r>
    <r>
      <rPr>
        <vertAlign val="subscript"/>
        <sz val="18"/>
        <color indexed="9"/>
        <rFont val="Times"/>
      </rPr>
      <t>j1</t>
    </r>
    <phoneticPr fontId="8" type="noConversion"/>
  </si>
  <si>
    <r>
      <t>m</t>
    </r>
    <r>
      <rPr>
        <vertAlign val="subscript"/>
        <sz val="18"/>
        <color indexed="9"/>
        <rFont val="Times"/>
      </rPr>
      <t>j2</t>
    </r>
    <phoneticPr fontId="8" type="noConversion"/>
  </si>
  <si>
    <r>
      <t>x</t>
    </r>
    <r>
      <rPr>
        <vertAlign val="subscript"/>
        <sz val="18"/>
        <color indexed="9"/>
        <rFont val="Times"/>
      </rPr>
      <t>33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</si>
  <si>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</si>
  <si>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</t>
    </r>
    <phoneticPr fontId="8" type="noConversion"/>
  </si>
  <si>
    <t>CONFIDENCE INTERVAL:</t>
    <phoneticPr fontId="8" type="noConversion"/>
  </si>
  <si>
    <t>CI = ±</t>
    <phoneticPr fontId="8" type="noConversion"/>
  </si>
  <si>
    <r>
      <t>w</t>
    </r>
    <r>
      <rPr>
        <vertAlign val="subscript"/>
        <sz val="18"/>
        <rFont val="Times"/>
      </rPr>
      <t>j</t>
    </r>
    <r>
      <rPr>
        <sz val="18"/>
        <rFont val="Times"/>
      </rPr>
      <t>s =</t>
    </r>
    <phoneticPr fontId="8" type="noConversion"/>
  </si>
  <si>
    <t>% variance</t>
    <phoneticPr fontId="8" type="noConversion"/>
  </si>
  <si>
    <t>Hypothesis</t>
    <phoneticPr fontId="8" type="noConversion"/>
  </si>
  <si>
    <t>Residual</t>
    <phoneticPr fontId="8" type="noConversion"/>
  </si>
  <si>
    <t>Control</t>
    <phoneticPr fontId="8" type="noConversion"/>
  </si>
  <si>
    <t>crit t =</t>
    <phoneticPr fontId="8" type="noConversion"/>
  </si>
  <si>
    <t xml:space="preserve">CI = ± 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</si>
  <si>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8" type="noConversion"/>
  </si>
  <si>
    <t>M =</t>
    <phoneticPr fontId="8" type="noConversion"/>
  </si>
  <si>
    <r>
      <t>s</t>
    </r>
    <r>
      <rPr>
        <sz val="18"/>
        <color indexed="9"/>
        <rFont val="Times"/>
      </rPr>
      <t xml:space="preserve"> (person) =</t>
    </r>
    <phoneticPr fontId="8" type="noConversion"/>
  </si>
  <si>
    <t>CxR</t>
    <phoneticPr fontId="8" type="noConversion"/>
  </si>
  <si>
    <t>Within</t>
    <phoneticPr fontId="8" type="noConversion"/>
  </si>
  <si>
    <t>Total</t>
    <phoneticPr fontId="8" type="noConversion"/>
  </si>
  <si>
    <r>
      <t>x</t>
    </r>
    <r>
      <rPr>
        <vertAlign val="subscript"/>
        <sz val="18"/>
        <color indexed="9"/>
        <rFont val="Times"/>
      </rPr>
      <t>24</t>
    </r>
    <r>
      <rPr>
        <sz val="18"/>
        <color indexed="9"/>
        <rFont val="Times"/>
      </rPr>
      <t xml:space="preserve"> =</t>
    </r>
    <phoneticPr fontId="8" type="noConversion"/>
  </si>
  <si>
    <t>(Low Incentive)</t>
    <phoneticPr fontId="8" type="noConversion"/>
  </si>
  <si>
    <r>
      <t>CI around M</t>
    </r>
    <r>
      <rPr>
        <vertAlign val="subscript"/>
        <sz val="18"/>
        <color indexed="9"/>
        <rFont val="Times"/>
      </rPr>
      <t>jk</t>
    </r>
    <r>
      <rPr>
        <sz val="18"/>
        <color indexed="9"/>
        <rFont val="Times"/>
      </rPr>
      <t>'s (HOV):</t>
    </r>
    <phoneticPr fontId="8" type="noConversion"/>
  </si>
  <si>
    <r>
      <t>x</t>
    </r>
    <r>
      <rPr>
        <vertAlign val="subscript"/>
        <sz val="18"/>
        <color indexed="9"/>
        <rFont val="Times"/>
      </rPr>
      <t>26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</si>
  <si>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17</t>
    </r>
    <r>
      <rPr>
        <sz val="18"/>
        <color indexed="9"/>
        <rFont val="Times"/>
      </rPr>
      <t xml:space="preserve"> =</t>
    </r>
    <phoneticPr fontId="8" type="noConversion"/>
  </si>
  <si>
    <t>Upper, lower CI magnitudes</t>
    <phoneticPr fontId="8" type="noConversion"/>
  </si>
  <si>
    <t xml:space="preserve">upper r = </t>
    <phoneticPr fontId="8" type="noConversion"/>
  </si>
  <si>
    <t xml:space="preserve">Obtained r = </t>
    <phoneticPr fontId="8" type="noConversion"/>
  </si>
  <si>
    <r>
      <t xml:space="preserve">CI contains </t>
    </r>
    <r>
      <rPr>
        <sz val="10"/>
        <color indexed="9"/>
        <rFont val="Symbol"/>
      </rPr>
      <t>r</t>
    </r>
    <r>
      <rPr>
        <sz val="10"/>
        <color indexed="9"/>
        <rFont val="Verdana"/>
      </rPr>
      <t xml:space="preserve">: </t>
    </r>
    <phoneticPr fontId="8" type="noConversion"/>
  </si>
  <si>
    <t xml:space="preserve">lower r = </t>
    <phoneticPr fontId="8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</si>
  <si>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</si>
  <si>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</si>
  <si>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8" type="noConversion"/>
  </si>
  <si>
    <r>
      <t xml:space="preserve">r </t>
    </r>
    <r>
      <rPr>
        <sz val="10"/>
        <color indexed="9"/>
        <rFont val="Verdana"/>
      </rPr>
      <t xml:space="preserve">(population r) = </t>
    </r>
    <phoneticPr fontId="8" type="noConversion"/>
  </si>
  <si>
    <r>
      <t>S</t>
    </r>
    <r>
      <rPr>
        <sz val="10"/>
        <color indexed="9"/>
        <rFont val="Verdana"/>
      </rPr>
      <t xml:space="preserve">X = </t>
    </r>
    <phoneticPr fontId="8" type="noConversion"/>
  </si>
  <si>
    <r>
      <t>S</t>
    </r>
    <r>
      <rPr>
        <sz val="10"/>
        <color indexed="9"/>
        <rFont val="Verdana"/>
      </rPr>
      <t xml:space="preserve">Y = </t>
    </r>
    <phoneticPr fontId="8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</si>
  <si>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X)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8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</si>
  <si>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Y)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8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</si>
  <si>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X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8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</si>
  <si>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Y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8" type="noConversion"/>
  </si>
  <si>
    <t>Relating predicted Y (Y') and actual Y to X</t>
    <phoneticPr fontId="8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</si>
  <si>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8" type="noConversion"/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</si>
  <si>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  <phoneticPr fontId="8" type="noConversion"/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</si>
  <si>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  <phoneticPr fontId="8" type="noConversion"/>
  </si>
  <si>
    <t>Type of Material</t>
    <phoneticPr fontId="8" type="noConversion"/>
  </si>
  <si>
    <t>Memos</t>
    <phoneticPr fontId="8" type="noConversion"/>
  </si>
  <si>
    <t>Level 3: 30</t>
    <phoneticPr fontId="8" type="noConversion"/>
  </si>
  <si>
    <t>Level 4: 45</t>
    <phoneticPr fontId="8" type="noConversion"/>
  </si>
  <si>
    <r>
      <t>Nondirectional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≠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</si>
  <si>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t>CI magnitude =</t>
    <phoneticPr fontId="8" type="noConversion"/>
  </si>
  <si>
    <r>
      <t>a</t>
    </r>
    <r>
      <rPr>
        <sz val="18"/>
        <rFont val="Times"/>
      </rPr>
      <t xml:space="preserve"> =</t>
    </r>
    <phoneticPr fontId="8" type="noConversion"/>
  </si>
  <si>
    <t>Between</t>
    <phoneticPr fontId="8" type="noConversion"/>
  </si>
  <si>
    <r>
      <t>x</t>
    </r>
    <r>
      <rPr>
        <vertAlign val="subscript"/>
        <sz val="18"/>
        <rFont val="Times"/>
      </rPr>
      <t>111</t>
    </r>
    <r>
      <rPr>
        <sz val="18"/>
        <rFont val="Times"/>
      </rPr>
      <t xml:space="preserve"> =</t>
    </r>
  </si>
  <si>
    <r>
      <t>x</t>
    </r>
    <r>
      <rPr>
        <vertAlign val="subscript"/>
        <sz val="18"/>
        <rFont val="Times"/>
      </rPr>
      <t>211</t>
    </r>
    <r>
      <rPr>
        <sz val="18"/>
        <rFont val="Times"/>
      </rPr>
      <t xml:space="preserve"> =</t>
    </r>
  </si>
  <si>
    <r>
      <t>s</t>
    </r>
    <r>
      <rPr>
        <sz val="18"/>
        <color indexed="8"/>
        <rFont val="Times"/>
      </rPr>
      <t xml:space="preserve"> = </t>
    </r>
    <phoneticPr fontId="8" type="noConversion"/>
  </si>
  <si>
    <t>Red Wine</t>
    <phoneticPr fontId="8" type="noConversion"/>
  </si>
  <si>
    <t>White Wine</t>
    <phoneticPr fontId="8" type="noConversion"/>
  </si>
  <si>
    <r>
      <t>M</t>
    </r>
    <r>
      <rPr>
        <vertAlign val="subscript"/>
        <sz val="18"/>
        <color indexed="9"/>
        <rFont val="Times"/>
      </rPr>
      <t>j</t>
    </r>
    <phoneticPr fontId="8" type="noConversion"/>
  </si>
  <si>
    <r>
      <t>T</t>
    </r>
    <r>
      <rPr>
        <vertAlign val="subscript"/>
        <sz val="18"/>
        <color indexed="9"/>
        <rFont val="Times"/>
      </rPr>
      <t>j</t>
    </r>
    <phoneticPr fontId="8" type="noConversion"/>
  </si>
  <si>
    <t xml:space="preserve">Criterion F = </t>
    <phoneticPr fontId="8" type="noConversion"/>
  </si>
  <si>
    <t>MS</t>
    <phoneticPr fontId="8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</si>
  <si>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8" type="noConversion"/>
  </si>
  <si>
    <t>Population SD of temperatures</t>
    <phoneticPr fontId="8" type="noConversion"/>
  </si>
  <si>
    <t>The data (sample)...</t>
    <phoneticPr fontId="8" type="noConversion"/>
  </si>
  <si>
    <r>
      <rPr>
        <sz val="12"/>
        <rFont val="Symbol"/>
      </rPr>
      <t>D</t>
    </r>
    <r>
      <rPr>
        <sz val="12"/>
        <rFont val="Times"/>
      </rPr>
      <t xml:space="preserve"> = </t>
    </r>
  </si>
  <si>
    <t>The data (sample)...</t>
    <phoneticPr fontId="8" type="noConversion"/>
  </si>
  <si>
    <t>Temperature</t>
    <phoneticPr fontId="8" type="noConversion"/>
  </si>
  <si>
    <t>(required)</t>
    <phoneticPr fontId="8" type="noConversion"/>
  </si>
  <si>
    <r>
      <t>x</t>
    </r>
    <r>
      <rPr>
        <vertAlign val="subscript"/>
        <sz val="18"/>
        <color indexed="9"/>
        <rFont val="Times"/>
      </rPr>
      <t>14</t>
    </r>
    <r>
      <rPr>
        <sz val="18"/>
        <color indexed="9"/>
        <rFont val="Times"/>
      </rPr>
      <t xml:space="preserve"> =</t>
    </r>
    <phoneticPr fontId="8" type="noConversion"/>
  </si>
  <si>
    <t>CI percent =</t>
    <phoneticPr fontId="8" type="noConversion"/>
  </si>
  <si>
    <t>CI magnitude = ±</t>
    <phoneticPr fontId="8" type="noConversion"/>
  </si>
  <si>
    <t>CI high =</t>
    <phoneticPr fontId="8" type="noConversion"/>
  </si>
  <si>
    <t>HYPOTHESIS TESTING</t>
    <phoneticPr fontId="8" type="noConversion"/>
  </si>
  <si>
    <t>$10/word</t>
    <phoneticPr fontId="8" type="noConversion"/>
  </si>
  <si>
    <t>Obt t =</t>
    <phoneticPr fontId="8" type="noConversion"/>
  </si>
  <si>
    <t>CONFIDENCE INTERVAL</t>
    <phoneticPr fontId="8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</si>
  <si>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8" type="noConversion"/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</si>
  <si>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8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</si>
  <si>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8" type="noConversion"/>
  </si>
  <si>
    <r>
      <t>Directional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</si>
  <si>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>NOTE: Obtained F is always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/est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</t>
    </r>
  </si>
  <si>
    <r>
      <t>Excel formula: FINV(</t>
    </r>
    <r>
      <rPr>
        <sz val="18"/>
        <color indexed="9"/>
        <rFont val="Symbol"/>
      </rPr>
      <t>a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, df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>)</t>
    </r>
  </si>
  <si>
    <r>
      <t>a</t>
    </r>
    <r>
      <rPr>
        <sz val="18"/>
        <color indexed="9"/>
        <rFont val="Times"/>
      </rPr>
      <t xml:space="preserve"> = </t>
    </r>
  </si>
  <si>
    <t>Testing Homogeneity of Variance</t>
  </si>
  <si>
    <r>
      <t>T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 </t>
    </r>
  </si>
  <si>
    <r>
      <t>T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</si>
  <si>
    <r>
      <t>df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</si>
  <si>
    <r>
      <t>Y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Y</t>
    </r>
    <r>
      <rPr>
        <vertAlign val="subscript"/>
        <sz val="10"/>
        <rFont val="Verdana"/>
      </rPr>
      <t>i</t>
    </r>
    <r>
      <rPr>
        <sz val="10"/>
        <rFont val="Verdana"/>
      </rPr>
      <t>' + N(0,</t>
    </r>
    <r>
      <rPr>
        <sz val="10"/>
        <rFont val="Symbol"/>
      </rPr>
      <t>s</t>
    </r>
    <r>
      <rPr>
        <vertAlign val="subscript"/>
        <sz val="10"/>
        <rFont val="Verdana"/>
      </rPr>
      <t>Y</t>
    </r>
    <r>
      <rPr>
        <sz val="10"/>
        <rFont val="Verdana"/>
      </rPr>
      <t>(1-r</t>
    </r>
    <r>
      <rPr>
        <vertAlign val="superscript"/>
        <sz val="10"/>
        <rFont val="Verdana"/>
      </rPr>
      <t>2</t>
    </r>
    <r>
      <rPr>
        <sz val="10"/>
        <rFont val="Verdana"/>
      </rPr>
      <t>)) where N(</t>
    </r>
    <r>
      <rPr>
        <sz val="10"/>
        <rFont val="Symbol"/>
      </rPr>
      <t>m</t>
    </r>
    <r>
      <rPr>
        <sz val="10"/>
        <rFont val="Verdana"/>
      </rPr>
      <t xml:space="preserve">, </t>
    </r>
    <r>
      <rPr>
        <sz val="10"/>
        <rFont val="Symbol"/>
      </rPr>
      <t>s</t>
    </r>
    <r>
      <rPr>
        <sz val="10"/>
        <rFont val="Verdana"/>
      </rPr>
      <t xml:space="preserve">) is a number randomly drawn from a distribution with mean, </t>
    </r>
    <r>
      <rPr>
        <sz val="10"/>
        <rFont val="Symbol"/>
      </rPr>
      <t>m</t>
    </r>
    <r>
      <rPr>
        <sz val="10"/>
        <rFont val="Verdana"/>
      </rPr>
      <t xml:space="preserve">, and standard deviation, </t>
    </r>
    <r>
      <rPr>
        <sz val="10"/>
        <rFont val="Symbol"/>
      </rPr>
      <t>s</t>
    </r>
    <phoneticPr fontId="8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</si>
  <si>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</si>
  <si>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</si>
  <si>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8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</si>
  <si>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8" type="noConversion"/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</si>
</sst>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8" formatCode="0.000"/>
    <numFmt numFmtId="169" formatCode="#,##0.0"/>
    <numFmt numFmtId="170" formatCode="#,##0.000"/>
    <numFmt numFmtId="171" formatCode="0.0"/>
    <numFmt numFmtId="172" formatCode="0.0%"/>
  </numFmts>
  <fonts count="75">
    <font>
      <sz val="18"/>
      <name val="Times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8"/>
      <name val="Times"/>
    </font>
    <font>
      <vertAlign val="subscript"/>
      <sz val="18"/>
      <name val="Times"/>
    </font>
    <font>
      <sz val="18"/>
      <name val="Symbol"/>
    </font>
    <font>
      <vertAlign val="superscript"/>
      <sz val="18"/>
      <name val="Times"/>
    </font>
    <font>
      <sz val="18"/>
      <color indexed="13"/>
      <name val="Times"/>
    </font>
    <font>
      <sz val="24"/>
      <color indexed="9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13"/>
      <name val="Times"/>
    </font>
    <font>
      <vertAlign val="subscript"/>
      <sz val="18"/>
      <color indexed="9"/>
      <name val="Verdana"/>
    </font>
    <font>
      <sz val="18"/>
      <color indexed="8"/>
      <name val="Times"/>
    </font>
    <font>
      <sz val="30"/>
      <color indexed="9"/>
      <name val="Symbol"/>
    </font>
    <font>
      <sz val="30"/>
      <color indexed="9"/>
      <name val="Times"/>
    </font>
    <font>
      <b/>
      <sz val="18"/>
      <color indexed="8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  <font>
      <sz val="12"/>
      <name val="Times"/>
    </font>
    <font>
      <sz val="12"/>
      <name val="Symbol"/>
    </font>
    <font>
      <vertAlign val="subscript"/>
      <sz val="12"/>
      <name val="Times"/>
    </font>
    <font>
      <sz val="16"/>
      <name val="Times"/>
    </font>
    <font>
      <sz val="16"/>
      <name val="Symbol"/>
    </font>
    <font>
      <vertAlign val="superscript"/>
      <sz val="16"/>
      <name val="Times"/>
    </font>
    <font>
      <sz val="24"/>
      <name val="Times"/>
    </font>
    <font>
      <vertAlign val="subscript"/>
      <sz val="24"/>
      <name val="Times"/>
    </font>
    <font>
      <sz val="24"/>
      <name val="Symbol"/>
    </font>
    <font>
      <vertAlign val="superscript"/>
      <sz val="24"/>
      <name val="Times"/>
    </font>
    <font>
      <sz val="16"/>
      <color indexed="9"/>
      <name val="Symbol"/>
    </font>
    <font>
      <vertAlign val="subscript"/>
      <sz val="16"/>
      <color indexed="9"/>
      <name val="Times"/>
    </font>
    <font>
      <sz val="16"/>
      <color indexed="9"/>
      <name val="Times"/>
    </font>
    <font>
      <b/>
      <sz val="16"/>
      <color indexed="9"/>
      <name val="Times"/>
    </font>
    <font>
      <b/>
      <vertAlign val="subscript"/>
      <sz val="16"/>
      <color indexed="9"/>
      <name val="Times"/>
    </font>
    <font>
      <vertAlign val="superscript"/>
      <sz val="16"/>
      <color indexed="9"/>
      <name val="Times"/>
    </font>
    <font>
      <sz val="18"/>
      <name val="Times"/>
    </font>
    <font>
      <u/>
      <sz val="18"/>
      <name val="Times"/>
    </font>
    <font>
      <sz val="18"/>
      <name val="Times"/>
    </font>
    <font>
      <u/>
      <sz val="18"/>
      <color indexed="12"/>
      <name val="Times"/>
    </font>
    <font>
      <u/>
      <sz val="18"/>
      <color indexed="20"/>
      <name val="Times"/>
    </font>
    <font>
      <sz val="18"/>
      <color indexed="9"/>
      <name val="Times"/>
    </font>
    <font>
      <sz val="18"/>
      <color indexed="9"/>
      <name val="Symbol"/>
    </font>
    <font>
      <sz val="18"/>
      <color indexed="13"/>
      <name val="Times"/>
    </font>
    <font>
      <sz val="36"/>
      <name val="Times"/>
    </font>
    <font>
      <vertAlign val="subscript"/>
      <sz val="10"/>
      <name val="Verdana"/>
    </font>
    <font>
      <sz val="10"/>
      <name val="Symbol"/>
    </font>
    <font>
      <vertAlign val="superscript"/>
      <sz val="10"/>
      <name val="Verdana"/>
    </font>
    <font>
      <b/>
      <sz val="11"/>
      <name val="Verdana"/>
    </font>
    <font>
      <sz val="10"/>
      <color indexed="9"/>
      <name val="Symbol"/>
    </font>
    <font>
      <vertAlign val="subscript"/>
      <sz val="10"/>
      <color indexed="9"/>
      <name val="Verdana"/>
    </font>
    <font>
      <sz val="10"/>
      <color indexed="9"/>
      <name val="Verdana"/>
    </font>
    <font>
      <vertAlign val="superscript"/>
      <sz val="10"/>
      <color indexed="9"/>
      <name val="Verdana"/>
    </font>
    <font>
      <sz val="11"/>
      <name val="Verdana"/>
    </font>
    <font>
      <sz val="11"/>
      <name val="Symbol"/>
    </font>
    <font>
      <sz val="10"/>
      <name val="Times"/>
    </font>
    <font>
      <u/>
      <sz val="10"/>
      <name val="Verdana"/>
    </font>
    <font>
      <vertAlign val="subscript"/>
      <sz val="11"/>
      <name val="Verdana"/>
    </font>
    <font>
      <sz val="11"/>
      <name val="Times"/>
    </font>
    <font>
      <sz val="20"/>
      <color indexed="9"/>
      <name val="Times"/>
    </font>
    <font>
      <sz val="20"/>
      <color indexed="9"/>
      <name val="Symbol"/>
    </font>
    <font>
      <vertAlign val="subscript"/>
      <sz val="20"/>
      <color indexed="9"/>
      <name val="Times"/>
    </font>
    <font>
      <sz val="20"/>
      <name val="Times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8"/>
      </bottom>
      <diagonal/>
    </border>
    <border>
      <left/>
      <right style="thick">
        <color auto="1"/>
      </right>
      <top style="medium">
        <color indexed="8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indexed="9"/>
      </right>
      <top/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 style="thick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auto="1"/>
      </right>
      <top/>
      <bottom style="medium">
        <color indexed="9"/>
      </bottom>
      <diagonal/>
    </border>
    <border>
      <left/>
      <right/>
      <top/>
      <bottom style="thin">
        <color indexed="8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 style="thin">
        <color auto="1"/>
      </bottom>
      <diagonal/>
    </border>
    <border>
      <left/>
      <right style="medium">
        <color indexed="9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/>
      <right style="medium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4" fontId="0" fillId="0" borderId="0">
      <alignment horizontal="center" vertical="center"/>
    </xf>
    <xf numFmtId="9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51" fillId="0" borderId="0" applyNumberFormat="0" applyFill="0" applyBorder="0" applyAlignment="0" applyProtection="0">
      <alignment horizontal="center" vertical="center"/>
    </xf>
    <xf numFmtId="4" fontId="52" fillId="0" borderId="0" applyNumberFormat="0" applyFill="0" applyBorder="0" applyAlignment="0" applyProtection="0">
      <alignment horizontal="center" vertical="center"/>
    </xf>
  </cellStyleXfs>
  <cellXfs count="880">
    <xf numFmtId="4" fontId="0" fillId="0" borderId="0" xfId="0">
      <alignment horizontal="center" vertical="center"/>
    </xf>
    <xf numFmtId="4" fontId="9" fillId="0" borderId="0" xfId="0" applyFont="1">
      <alignment horizontal="center" vertical="center"/>
    </xf>
    <xf numFmtId="4" fontId="0" fillId="0" borderId="0" xfId="0" applyAlignment="1">
      <alignment horizontal="right" vertical="center"/>
    </xf>
    <xf numFmtId="4" fontId="11" fillId="0" borderId="0" xfId="0" applyFont="1" applyAlignment="1">
      <alignment horizontal="right" vertical="center"/>
    </xf>
    <xf numFmtId="4" fontId="0" fillId="0" borderId="1" xfId="0" applyBorder="1" applyAlignment="1">
      <alignment horizontal="right" vertical="center"/>
    </xf>
    <xf numFmtId="4" fontId="0" fillId="0" borderId="0" xfId="0" quotePrefix="1" applyAlignment="1">
      <alignment horizontal="left" vertical="center"/>
    </xf>
    <xf numFmtId="9" fontId="0" fillId="0" borderId="0" xfId="1" applyFont="1" applyAlignment="1">
      <alignment horizontal="left" vertical="center"/>
    </xf>
    <xf numFmtId="4" fontId="0" fillId="0" borderId="1" xfId="0" applyBorder="1">
      <alignment horizontal="center" vertical="center"/>
    </xf>
    <xf numFmtId="4" fontId="0" fillId="0" borderId="0" xfId="0" applyAlignment="1">
      <alignment horizontal="center" vertical="center"/>
    </xf>
    <xf numFmtId="4" fontId="9" fillId="0" borderId="0" xfId="0" applyFont="1" applyAlignment="1">
      <alignment horizontal="right" vertical="center"/>
    </xf>
    <xf numFmtId="4" fontId="9" fillId="0" borderId="0" xfId="0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4" fontId="9" fillId="0" borderId="0" xfId="0" applyFont="1" applyBorder="1" applyAlignment="1">
      <alignment horizontal="right" vertical="center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9" fillId="0" borderId="1" xfId="0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70" fontId="9" fillId="0" borderId="0" xfId="0" applyNumberFormat="1" applyFont="1" applyBorder="1" applyAlignment="1">
      <alignment vertical="center"/>
    </xf>
    <xf numFmtId="4" fontId="9" fillId="0" borderId="0" xfId="0" applyFont="1" applyBorder="1" applyAlignment="1">
      <alignment horizontal="left" vertical="center"/>
    </xf>
    <xf numFmtId="169" fontId="9" fillId="0" borderId="0" xfId="0" applyNumberFormat="1" applyFont="1" applyBorder="1" applyAlignment="1">
      <alignment horizontal="right" vertical="center"/>
    </xf>
    <xf numFmtId="4" fontId="9" fillId="0" borderId="1" xfId="0" applyFont="1" applyBorder="1">
      <alignment horizontal="center" vertical="center"/>
    </xf>
    <xf numFmtId="4" fontId="0" fillId="0" borderId="0" xfId="0" applyBorder="1" applyAlignment="1">
      <alignment horizontal="right" vertical="center"/>
    </xf>
    <xf numFmtId="4" fontId="0" fillId="0" borderId="2" xfId="0" applyBorder="1" applyAlignment="1">
      <alignment horizontal="right" vertical="center"/>
    </xf>
    <xf numFmtId="4" fontId="9" fillId="0" borderId="0" xfId="0" applyFont="1" applyBorder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170" fontId="9" fillId="0" borderId="0" xfId="0" applyNumberFormat="1" applyFont="1" applyBorder="1" applyAlignment="1">
      <alignment horizontal="left" vertical="center"/>
    </xf>
    <xf numFmtId="4" fontId="9" fillId="0" borderId="0" xfId="0" applyFont="1" applyAlignment="1">
      <alignment horizontal="center" vertical="center"/>
    </xf>
    <xf numFmtId="4" fontId="0" fillId="0" borderId="0" xfId="0" applyBorder="1">
      <alignment horizontal="center" vertical="center"/>
    </xf>
    <xf numFmtId="4" fontId="0" fillId="0" borderId="0" xfId="0" applyBorder="1" applyAlignment="1">
      <alignment horizontal="left" vertical="center"/>
    </xf>
    <xf numFmtId="4" fontId="0" fillId="2" borderId="0" xfId="0" applyFill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4" fontId="9" fillId="0" borderId="0" xfId="0" applyFont="1" applyAlignment="1">
      <alignment horizontal="left" vertical="center"/>
    </xf>
    <xf numFmtId="4" fontId="11" fillId="0" borderId="0" xfId="0" applyFont="1" applyFill="1" applyBorder="1" applyAlignment="1">
      <alignment horizontal="right" vertical="center"/>
    </xf>
    <xf numFmtId="4" fontId="0" fillId="0" borderId="0" xfId="0" applyAlignment="1">
      <alignment horizontal="left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/>
    </xf>
    <xf numFmtId="4" fontId="0" fillId="0" borderId="0" xfId="0" applyFill="1" applyBorder="1" applyAlignment="1">
      <alignment horizontal="right" vertical="center"/>
    </xf>
    <xf numFmtId="4" fontId="0" fillId="0" borderId="6" xfId="0" applyBorder="1" applyAlignment="1">
      <alignment horizontal="right" vertical="center"/>
    </xf>
    <xf numFmtId="4" fontId="0" fillId="0" borderId="7" xfId="0" applyBorder="1" applyAlignment="1">
      <alignment horizontal="right" vertical="center"/>
    </xf>
    <xf numFmtId="4" fontId="0" fillId="2" borderId="6" xfId="0" applyFill="1" applyBorder="1" applyAlignment="1">
      <alignment horizontal="right" vertical="center"/>
    </xf>
    <xf numFmtId="4" fontId="0" fillId="2" borderId="0" xfId="0" applyFill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4" fontId="9" fillId="0" borderId="0" xfId="0" applyFont="1" applyBorder="1" applyAlignment="1">
      <alignment horizontal="left" vertical="center"/>
    </xf>
    <xf numFmtId="169" fontId="0" fillId="0" borderId="0" xfId="0" applyNumberFormat="1">
      <alignment horizontal="center" vertical="center"/>
    </xf>
    <xf numFmtId="3" fontId="0" fillId="0" borderId="0" xfId="0" applyNumberForma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>
      <alignment horizontal="center" vertical="center"/>
    </xf>
    <xf numFmtId="3" fontId="0" fillId="0" borderId="0" xfId="0" applyNumberForma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9" fillId="0" borderId="0" xfId="0" applyNumberFormat="1" applyFont="1" applyAlignment="1">
      <alignment vertical="center"/>
    </xf>
    <xf numFmtId="170" fontId="9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>
      <alignment horizontal="center" vertical="center"/>
    </xf>
    <xf numFmtId="4" fontId="9" fillId="0" borderId="0" xfId="0" applyFont="1" applyFill="1" applyBorder="1" applyAlignment="1">
      <alignment horizontal="center" vertical="center"/>
    </xf>
    <xf numFmtId="4" fontId="9" fillId="0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3" fontId="0" fillId="0" borderId="0" xfId="0" applyNumberForma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right" vertical="center"/>
    </xf>
    <xf numFmtId="172" fontId="0" fillId="0" borderId="0" xfId="1" applyNumberFormat="1" applyFont="1" applyAlignment="1">
      <alignment horizontal="right" vertical="center"/>
    </xf>
    <xf numFmtId="3" fontId="0" fillId="0" borderId="0" xfId="0" applyNumberForma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169" fontId="0" fillId="0" borderId="0" xfId="0" applyNumberForma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4" fontId="0" fillId="0" borderId="0" xfId="0" applyNumberFormat="1">
      <alignment horizontal="center" vertical="center"/>
    </xf>
    <xf numFmtId="3" fontId="0" fillId="0" borderId="1" xfId="0" applyNumberFormat="1" applyBorder="1">
      <alignment horizontal="center" vertical="center"/>
    </xf>
    <xf numFmtId="3" fontId="0" fillId="0" borderId="0" xfId="0" applyNumberFormat="1" applyBorder="1">
      <alignment horizontal="center" vertical="center"/>
    </xf>
    <xf numFmtId="169" fontId="0" fillId="0" borderId="0" xfId="0" applyNumberFormat="1" applyBorder="1">
      <alignment horizontal="center" vertical="center"/>
    </xf>
    <xf numFmtId="4" fontId="0" fillId="0" borderId="0" xfId="0" applyAlignment="1">
      <alignment horizontal="left" vertical="center"/>
    </xf>
    <xf numFmtId="4" fontId="0" fillId="0" borderId="0" xfId="0" applyBorder="1" applyAlignment="1">
      <alignment horizontal="center" vertical="center"/>
    </xf>
    <xf numFmtId="4" fontId="0" fillId="0" borderId="0" xfId="0" applyAlignment="1">
      <alignment horizontal="left" vertical="center"/>
    </xf>
    <xf numFmtId="3" fontId="9" fillId="0" borderId="0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4" fontId="9" fillId="0" borderId="0" xfId="0" applyFont="1" applyAlignment="1">
      <alignment vertical="center" wrapText="1"/>
    </xf>
    <xf numFmtId="4" fontId="9" fillId="0" borderId="0" xfId="0" applyFont="1" applyAlignment="1">
      <alignment horizontal="center" vertical="center"/>
    </xf>
    <xf numFmtId="4" fontId="9" fillId="0" borderId="0" xfId="0" applyFont="1" applyFill="1" applyBorder="1" applyAlignment="1">
      <alignment horizontal="right" vertical="center"/>
    </xf>
    <xf numFmtId="4" fontId="9" fillId="0" borderId="0" xfId="0" applyFont="1" applyFill="1" applyBorder="1" applyAlignment="1">
      <alignment horizontal="left" vertical="center"/>
    </xf>
    <xf numFmtId="170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ill="1" applyBorder="1" applyAlignment="1">
      <alignment horizontal="center" vertical="center"/>
    </xf>
    <xf numFmtId="170" fontId="9" fillId="0" borderId="0" xfId="0" applyNumberFormat="1" applyFont="1" applyFill="1" applyBorder="1" applyAlignment="1">
      <alignment vertical="center"/>
    </xf>
    <xf numFmtId="4" fontId="9" fillId="0" borderId="0" xfId="0" applyFont="1" applyFill="1" applyBorder="1" applyAlignment="1">
      <alignment vertical="center"/>
    </xf>
    <xf numFmtId="170" fontId="9" fillId="0" borderId="0" xfId="0" applyNumberFormat="1" applyFont="1" applyFill="1" applyBorder="1" applyAlignment="1">
      <alignment horizontal="left" vertical="center"/>
    </xf>
    <xf numFmtId="4" fontId="9" fillId="0" borderId="0" xfId="0" applyFont="1" applyFill="1" applyBorder="1" applyAlignment="1">
      <alignment horizontal="center" vertical="center" textRotation="90"/>
    </xf>
    <xf numFmtId="4" fontId="9" fillId="0" borderId="0" xfId="0" applyFont="1" applyFill="1" applyBorder="1" applyAlignment="1">
      <alignment horizontal="left" vertical="center" textRotation="90"/>
    </xf>
    <xf numFmtId="4" fontId="0" fillId="0" borderId="0" xfId="0" applyAlignment="1">
      <alignment horizontal="right"/>
    </xf>
    <xf numFmtId="169" fontId="0" fillId="0" borderId="4" xfId="0" applyNumberFormat="1" applyBorder="1" applyAlignment="1">
      <alignment horizontal="right"/>
    </xf>
    <xf numFmtId="169" fontId="0" fillId="0" borderId="2" xfId="0" applyNumberFormat="1" applyBorder="1" applyAlignment="1">
      <alignment horizontal="left" vertical="center"/>
    </xf>
    <xf numFmtId="4" fontId="0" fillId="0" borderId="2" xfId="0" applyBorder="1">
      <alignment horizontal="center" vertical="center"/>
    </xf>
    <xf numFmtId="169" fontId="0" fillId="0" borderId="0" xfId="0" applyNumberFormat="1" applyAlignment="1">
      <alignment horizontal="right"/>
    </xf>
    <xf numFmtId="3" fontId="0" fillId="2" borderId="5" xfId="0" applyNumberFormat="1" applyFill="1" applyBorder="1">
      <alignment horizontal="center" vertical="center"/>
    </xf>
    <xf numFmtId="3" fontId="0" fillId="0" borderId="5" xfId="0" applyNumberFormat="1" applyBorder="1">
      <alignment horizontal="center" vertical="center"/>
    </xf>
    <xf numFmtId="3" fontId="0" fillId="0" borderId="0" xfId="0" applyNumberFormat="1" applyAlignment="1">
      <alignment horizontal="left" vertical="center"/>
    </xf>
    <xf numFmtId="4" fontId="0" fillId="0" borderId="2" xfId="0" applyBorder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69" fontId="0" fillId="0" borderId="0" xfId="0" applyNumberFormat="1" applyAlignment="1">
      <alignment horizontal="right" vertical="center"/>
    </xf>
    <xf numFmtId="4" fontId="0" fillId="0" borderId="5" xfId="0" applyBorder="1" applyAlignment="1">
      <alignment horizontal="right" vertical="center"/>
    </xf>
    <xf numFmtId="169" fontId="0" fillId="0" borderId="5" xfId="0" applyNumberFormat="1" applyBorder="1">
      <alignment horizontal="center" vertical="center"/>
    </xf>
    <xf numFmtId="169" fontId="0" fillId="0" borderId="0" xfId="0" applyNumberFormat="1">
      <alignment horizontal="center" vertical="center"/>
    </xf>
    <xf numFmtId="3" fontId="0" fillId="0" borderId="4" xfId="0" applyNumberFormat="1" applyBorder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4" fontId="9" fillId="0" borderId="0" xfId="0" applyFont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Alignment="1">
      <alignment horizontal="left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8" fillId="3" borderId="0" xfId="0" applyFont="1" applyFill="1" applyAlignment="1">
      <alignment horizontal="left" vertical="center"/>
    </xf>
    <xf numFmtId="4" fontId="15" fillId="3" borderId="0" xfId="0" applyFont="1" applyFill="1" applyAlignment="1">
      <alignment horizontal="center" vertical="center"/>
    </xf>
    <xf numFmtId="4" fontId="15" fillId="3" borderId="0" xfId="0" applyFont="1" applyFill="1" applyAlignment="1">
      <alignment horizontal="right" vertical="center"/>
    </xf>
    <xf numFmtId="171" fontId="15" fillId="3" borderId="0" xfId="0" applyNumberFormat="1" applyFont="1" applyFill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169" fontId="15" fillId="3" borderId="0" xfId="0" applyNumberFormat="1" applyFont="1" applyFill="1" applyAlignment="1">
      <alignment horizontal="right" vertical="center"/>
    </xf>
    <xf numFmtId="170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center" vertical="center"/>
    </xf>
    <xf numFmtId="168" fontId="15" fillId="3" borderId="0" xfId="0" applyNumberFormat="1" applyFont="1" applyFill="1" applyAlignment="1">
      <alignment horizontal="center" vertical="center"/>
    </xf>
    <xf numFmtId="4" fontId="15" fillId="0" borderId="0" xfId="0" applyFont="1" applyFill="1" applyAlignment="1">
      <alignment horizontal="center" vertical="center"/>
    </xf>
    <xf numFmtId="4" fontId="11" fillId="0" borderId="0" xfId="0" applyFont="1" applyBorder="1" applyAlignment="1">
      <alignment horizontal="center" vertical="center"/>
    </xf>
    <xf numFmtId="4" fontId="18" fillId="3" borderId="0" xfId="0" applyFont="1" applyFill="1" applyAlignment="1">
      <alignment horizontal="right" vertical="center"/>
    </xf>
    <xf numFmtId="169" fontId="15" fillId="3" borderId="0" xfId="0" applyNumberFormat="1" applyFont="1" applyFill="1" applyAlignment="1">
      <alignment horizontal="center" vertical="center"/>
    </xf>
    <xf numFmtId="4" fontId="15" fillId="3" borderId="0" xfId="0" applyFont="1" applyFill="1" applyAlignment="1">
      <alignment vertical="center" wrapText="1"/>
    </xf>
    <xf numFmtId="4" fontId="15" fillId="3" borderId="0" xfId="0" applyFont="1" applyFill="1" applyBorder="1" applyAlignment="1">
      <alignment vertical="center" wrapText="1"/>
    </xf>
    <xf numFmtId="4" fontId="9" fillId="3" borderId="0" xfId="0" applyFont="1" applyFill="1" applyAlignment="1">
      <alignment horizontal="center" vertical="center"/>
    </xf>
    <xf numFmtId="4" fontId="15" fillId="3" borderId="0" xfId="0" applyFont="1" applyFill="1" applyBorder="1" applyAlignment="1">
      <alignment horizontal="right" vertical="center"/>
    </xf>
    <xf numFmtId="2" fontId="15" fillId="3" borderId="0" xfId="0" applyNumberFormat="1" applyFont="1" applyFill="1" applyBorder="1" applyAlignment="1">
      <alignment horizontal="center" vertical="center"/>
    </xf>
    <xf numFmtId="4" fontId="13" fillId="3" borderId="0" xfId="0" applyFont="1" applyFill="1" applyAlignment="1">
      <alignment horizontal="right" vertical="center"/>
    </xf>
    <xf numFmtId="4" fontId="13" fillId="3" borderId="0" xfId="0" applyFont="1" applyFill="1" applyBorder="1" applyAlignment="1">
      <alignment horizontal="right" vertical="center"/>
    </xf>
    <xf numFmtId="4" fontId="13" fillId="3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4" fontId="13" fillId="3" borderId="0" xfId="0" applyFont="1" applyFill="1" applyBorder="1" applyAlignment="1">
      <alignment vertical="center"/>
    </xf>
    <xf numFmtId="168" fontId="13" fillId="3" borderId="0" xfId="0" applyNumberFormat="1" applyFont="1" applyFill="1" applyAlignment="1">
      <alignment horizontal="center" vertical="center"/>
    </xf>
    <xf numFmtId="4" fontId="13" fillId="3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4" fillId="4" borderId="0" xfId="0" applyFont="1" applyFill="1" applyAlignment="1">
      <alignment horizontal="left" vertical="center"/>
    </xf>
    <xf numFmtId="4" fontId="15" fillId="4" borderId="0" xfId="0" applyFont="1" applyFill="1" applyAlignment="1">
      <alignment horizontal="center" vertical="center"/>
    </xf>
    <xf numFmtId="4" fontId="16" fillId="4" borderId="0" xfId="0" applyFont="1" applyFill="1" applyAlignment="1">
      <alignment horizontal="right" vertical="center"/>
    </xf>
    <xf numFmtId="4" fontId="15" fillId="4" borderId="0" xfId="0" applyFont="1" applyFill="1" applyAlignment="1">
      <alignment horizontal="left" vertical="center"/>
    </xf>
    <xf numFmtId="4" fontId="14" fillId="5" borderId="0" xfId="0" applyFont="1" applyFill="1" applyAlignment="1">
      <alignment horizontal="left" vertical="center"/>
    </xf>
    <xf numFmtId="4" fontId="15" fillId="5" borderId="0" xfId="0" applyFont="1" applyFill="1" applyAlignment="1">
      <alignment horizontal="center" vertical="center"/>
    </xf>
    <xf numFmtId="3" fontId="15" fillId="5" borderId="0" xfId="0" applyNumberFormat="1" applyFont="1" applyFill="1" applyAlignment="1">
      <alignment horizontal="center" vertical="center"/>
    </xf>
    <xf numFmtId="169" fontId="15" fillId="5" borderId="0" xfId="0" applyNumberFormat="1" applyFont="1" applyFill="1" applyAlignment="1">
      <alignment horizontal="center" vertical="center"/>
    </xf>
    <xf numFmtId="3" fontId="15" fillId="5" borderId="11" xfId="0" applyNumberFormat="1" applyFont="1" applyFill="1" applyBorder="1" applyAlignment="1">
      <alignment horizontal="center" vertical="center"/>
    </xf>
    <xf numFmtId="169" fontId="15" fillId="5" borderId="11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Alignment="1">
      <alignment horizontal="center" vertical="center"/>
    </xf>
    <xf numFmtId="4" fontId="15" fillId="4" borderId="0" xfId="0" quotePrefix="1" applyFont="1" applyFill="1" applyAlignment="1">
      <alignment horizontal="left" vertical="center"/>
    </xf>
    <xf numFmtId="4" fontId="16" fillId="4" borderId="0" xfId="0" applyFont="1" applyFill="1" applyAlignment="1">
      <alignment horizontal="center" vertical="center"/>
    </xf>
    <xf numFmtId="4" fontId="15" fillId="4" borderId="0" xfId="0" applyFont="1" applyFill="1" applyAlignment="1">
      <alignment vertical="center" wrapText="1"/>
    </xf>
    <xf numFmtId="4" fontId="15" fillId="4" borderId="11" xfId="0" applyFont="1" applyFill="1" applyBorder="1" applyAlignment="1">
      <alignment horizontal="center" vertical="center"/>
    </xf>
    <xf numFmtId="4" fontId="15" fillId="4" borderId="0" xfId="0" applyFont="1" applyFill="1" applyBorder="1" applyAlignment="1">
      <alignment horizontal="center" vertical="center"/>
    </xf>
    <xf numFmtId="4" fontId="9" fillId="4" borderId="0" xfId="0" applyFont="1" applyFill="1" applyAlignment="1">
      <alignment horizontal="center" vertical="center"/>
    </xf>
    <xf numFmtId="4" fontId="15" fillId="5" borderId="0" xfId="0" quotePrefix="1" applyFont="1" applyFill="1" applyAlignment="1">
      <alignment horizontal="center" vertical="center"/>
    </xf>
    <xf numFmtId="4" fontId="15" fillId="5" borderId="0" xfId="0" applyFont="1" applyFill="1" applyAlignment="1">
      <alignment horizontal="right" vertical="center"/>
    </xf>
    <xf numFmtId="4" fontId="15" fillId="4" borderId="11" xfId="0" applyFont="1" applyFill="1" applyBorder="1" applyAlignment="1">
      <alignment horizontal="center" vertical="center" wrapText="1"/>
    </xf>
    <xf numFmtId="4" fontId="16" fillId="4" borderId="11" xfId="0" applyFont="1" applyFill="1" applyBorder="1" applyAlignment="1">
      <alignment horizontal="center" vertical="center"/>
    </xf>
    <xf numFmtId="4" fontId="0" fillId="0" borderId="0" xfId="0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/>
    </xf>
    <xf numFmtId="4" fontId="9" fillId="0" borderId="0" xfId="0" applyFont="1" applyAlignment="1">
      <alignment horizontal="center" vertical="center" textRotation="90" wrapText="1"/>
    </xf>
    <xf numFmtId="170" fontId="9" fillId="0" borderId="0" xfId="0" applyNumberFormat="1" applyFont="1" applyBorder="1" applyAlignment="1">
      <alignment horizontal="right" vertical="center"/>
    </xf>
    <xf numFmtId="4" fontId="9" fillId="0" borderId="0" xfId="0" applyFont="1" applyBorder="1" applyAlignment="1">
      <alignment horizontal="left" vertical="center"/>
    </xf>
    <xf numFmtId="4" fontId="9" fillId="2" borderId="0" xfId="0" applyFont="1" applyFill="1" applyAlignment="1">
      <alignment horizontal="right" vertical="center"/>
    </xf>
    <xf numFmtId="3" fontId="16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left" vertical="center"/>
    </xf>
    <xf numFmtId="3" fontId="15" fillId="4" borderId="0" xfId="0" applyNumberFormat="1" applyFont="1" applyFill="1" applyAlignment="1">
      <alignment horizontal="left" vertical="center"/>
    </xf>
    <xf numFmtId="3" fontId="11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left" vertical="center"/>
    </xf>
    <xf numFmtId="4" fontId="15" fillId="5" borderId="0" xfId="0" applyFont="1" applyFill="1" applyBorder="1" applyAlignment="1">
      <alignment horizontal="right" vertical="center"/>
    </xf>
    <xf numFmtId="3" fontId="15" fillId="5" borderId="0" xfId="0" applyNumberFormat="1" applyFont="1" applyFill="1" applyBorder="1" applyAlignment="1">
      <alignment horizontal="right" vertical="center"/>
    </xf>
    <xf numFmtId="170" fontId="15" fillId="5" borderId="0" xfId="0" applyNumberFormat="1" applyFont="1" applyFill="1" applyAlignment="1">
      <alignment horizontal="center" vertical="center"/>
    </xf>
    <xf numFmtId="170" fontId="15" fillId="5" borderId="0" xfId="0" applyNumberFormat="1" applyFont="1" applyFill="1" applyBorder="1" applyAlignment="1">
      <alignment horizontal="left" vertical="center"/>
    </xf>
    <xf numFmtId="170" fontId="15" fillId="5" borderId="0" xfId="0" applyNumberFormat="1" applyFont="1" applyFill="1" applyAlignment="1">
      <alignment horizontal="left" vertical="center"/>
    </xf>
    <xf numFmtId="3" fontId="15" fillId="5" borderId="0" xfId="0" applyNumberFormat="1" applyFont="1" applyFill="1" applyBorder="1" applyAlignment="1">
      <alignment horizontal="left" vertical="center"/>
    </xf>
    <xf numFmtId="3" fontId="15" fillId="5" borderId="0" xfId="0" applyNumberFormat="1" applyFont="1" applyFill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center" vertical="center"/>
    </xf>
    <xf numFmtId="170" fontId="15" fillId="3" borderId="0" xfId="0" applyNumberFormat="1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left" vertical="center"/>
    </xf>
    <xf numFmtId="4" fontId="15" fillId="3" borderId="0" xfId="0" applyFont="1" applyFill="1" applyAlignment="1">
      <alignment horizontal="left" vertical="center"/>
    </xf>
    <xf numFmtId="170" fontId="15" fillId="3" borderId="0" xfId="0" applyNumberFormat="1" applyFont="1" applyFill="1" applyBorder="1" applyAlignment="1">
      <alignment horizontal="left" vertical="center"/>
    </xf>
    <xf numFmtId="4" fontId="0" fillId="3" borderId="0" xfId="0" applyFill="1" applyBorder="1" applyAlignment="1">
      <alignment horizontal="center" vertical="center"/>
    </xf>
    <xf numFmtId="170" fontId="15" fillId="3" borderId="0" xfId="0" applyNumberFormat="1" applyFont="1" applyFill="1" applyBorder="1" applyAlignment="1">
      <alignment horizontal="center" vertical="center"/>
    </xf>
    <xf numFmtId="4" fontId="15" fillId="3" borderId="0" xfId="0" applyFont="1" applyFill="1" applyBorder="1" applyAlignment="1">
      <alignment horizontal="center" vertical="center"/>
    </xf>
    <xf numFmtId="4" fontId="15" fillId="3" borderId="0" xfId="0" applyFont="1" applyFill="1" applyBorder="1" applyAlignment="1">
      <alignment horizontal="left" vertical="center"/>
    </xf>
    <xf numFmtId="4" fontId="18" fillId="3" borderId="0" xfId="0" applyFont="1" applyFill="1" applyBorder="1" applyAlignment="1">
      <alignment horizontal="left" vertical="center"/>
    </xf>
    <xf numFmtId="169" fontId="15" fillId="3" borderId="0" xfId="0" applyNumberFormat="1" applyFont="1" applyFill="1" applyBorder="1" applyAlignment="1">
      <alignment horizontal="center" vertical="center"/>
    </xf>
    <xf numFmtId="170" fontId="13" fillId="3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6" fillId="6" borderId="0" xfId="0" applyFont="1" applyFill="1" applyBorder="1" applyAlignment="1">
      <alignment horizontal="right"/>
    </xf>
    <xf numFmtId="2" fontId="15" fillId="6" borderId="0" xfId="0" applyNumberFormat="1" applyFont="1" applyFill="1" applyBorder="1" applyAlignment="1">
      <alignment horizontal="left"/>
    </xf>
    <xf numFmtId="4" fontId="15" fillId="6" borderId="0" xfId="0" applyFont="1" applyFill="1" applyBorder="1" applyAlignment="1">
      <alignment horizontal="right" vertical="center"/>
    </xf>
    <xf numFmtId="9" fontId="15" fillId="6" borderId="0" xfId="1" applyFont="1" applyFill="1" applyBorder="1" applyAlignment="1">
      <alignment horizontal="left" vertical="center"/>
    </xf>
    <xf numFmtId="4" fontId="15" fillId="6" borderId="0" xfId="0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4" fontId="15" fillId="5" borderId="12" xfId="0" applyFont="1" applyFill="1" applyBorder="1" applyAlignment="1">
      <alignment horizontal="right" vertical="center"/>
    </xf>
    <xf numFmtId="3" fontId="15" fillId="5" borderId="12" xfId="0" applyNumberFormat="1" applyFont="1" applyFill="1" applyBorder="1" applyAlignment="1">
      <alignment horizontal="center" vertical="center"/>
    </xf>
    <xf numFmtId="4" fontId="15" fillId="6" borderId="0" xfId="0" applyFont="1" applyFill="1" applyAlignment="1">
      <alignment vertical="center" wrapText="1"/>
    </xf>
    <xf numFmtId="4" fontId="15" fillId="6" borderId="0" xfId="0" applyFont="1" applyFill="1" applyAlignment="1">
      <alignment horizontal="center" vertical="center" wrapText="1"/>
    </xf>
    <xf numFmtId="4" fontId="15" fillId="6" borderId="11" xfId="0" applyFont="1" applyFill="1" applyBorder="1" applyAlignment="1">
      <alignment horizontal="center" vertical="center" wrapText="1"/>
    </xf>
    <xf numFmtId="4" fontId="9" fillId="3" borderId="0" xfId="0" applyFont="1" applyFill="1" applyBorder="1" applyAlignment="1">
      <alignment horizontal="center" vertical="center"/>
    </xf>
    <xf numFmtId="168" fontId="15" fillId="3" borderId="0" xfId="0" applyNumberFormat="1" applyFont="1" applyFill="1" applyBorder="1" applyAlignment="1">
      <alignment horizontal="center" vertical="center"/>
    </xf>
    <xf numFmtId="4" fontId="9" fillId="0" borderId="0" xfId="0" applyFont="1" applyFill="1" applyBorder="1" applyAlignment="1">
      <alignment vertical="center" wrapText="1"/>
    </xf>
    <xf numFmtId="4" fontId="9" fillId="0" borderId="0" xfId="0" applyFont="1" applyFill="1" applyAlignment="1">
      <alignment horizontal="center" vertical="center"/>
    </xf>
    <xf numFmtId="2" fontId="15" fillId="3" borderId="13" xfId="0" applyNumberFormat="1" applyFont="1" applyFill="1" applyBorder="1" applyAlignment="1">
      <alignment horizontal="center" vertical="center"/>
    </xf>
    <xf numFmtId="4" fontId="15" fillId="6" borderId="0" xfId="0" applyFont="1" applyFill="1" applyAlignment="1">
      <alignment horizontal="right" vertical="center"/>
    </xf>
    <xf numFmtId="9" fontId="15" fillId="6" borderId="0" xfId="1" applyFont="1" applyFill="1" applyAlignment="1">
      <alignment horizontal="left" vertical="center"/>
    </xf>
    <xf numFmtId="4" fontId="16" fillId="6" borderId="0" xfId="0" applyFont="1" applyFill="1" applyBorder="1" applyAlignment="1">
      <alignment horizontal="right" vertical="center"/>
    </xf>
    <xf numFmtId="2" fontId="15" fillId="6" borderId="0" xfId="0" applyNumberFormat="1" applyFont="1" applyFill="1" applyBorder="1" applyAlignment="1">
      <alignment horizontal="left" vertical="center"/>
    </xf>
    <xf numFmtId="3" fontId="15" fillId="6" borderId="0" xfId="0" applyNumberFormat="1" applyFont="1" applyFill="1" applyAlignment="1">
      <alignment horizontal="left" vertical="center"/>
    </xf>
    <xf numFmtId="4" fontId="16" fillId="6" borderId="0" xfId="0" applyFont="1" applyFill="1" applyAlignment="1">
      <alignment horizontal="right" vertical="center"/>
    </xf>
    <xf numFmtId="4" fontId="15" fillId="6" borderId="0" xfId="0" applyFont="1" applyFill="1" applyAlignment="1">
      <alignment horizontal="left" vertical="center"/>
    </xf>
    <xf numFmtId="169" fontId="15" fillId="5" borderId="0" xfId="0" applyNumberFormat="1" applyFont="1" applyFill="1" applyBorder="1" applyAlignment="1">
      <alignment horizontal="center" vertical="center"/>
    </xf>
    <xf numFmtId="4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left" vertical="center"/>
    </xf>
    <xf numFmtId="4" fontId="15" fillId="5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 vertical="center"/>
    </xf>
    <xf numFmtId="169" fontId="15" fillId="3" borderId="0" xfId="0" applyNumberFormat="1" applyFont="1" applyFill="1" applyBorder="1" applyAlignment="1">
      <alignment horizontal="right" vertical="center"/>
    </xf>
    <xf numFmtId="4" fontId="0" fillId="6" borderId="0" xfId="0" applyFill="1" applyAlignment="1">
      <alignment horizontal="center" vertical="center"/>
    </xf>
    <xf numFmtId="4" fontId="0" fillId="6" borderId="0" xfId="0" applyFill="1" applyBorder="1" applyAlignment="1">
      <alignment horizontal="center" vertical="center"/>
    </xf>
    <xf numFmtId="4" fontId="15" fillId="3" borderId="11" xfId="0" applyFont="1" applyFill="1" applyBorder="1" applyAlignment="1">
      <alignment horizontal="left" vertical="center"/>
    </xf>
    <xf numFmtId="4" fontId="15" fillId="3" borderId="11" xfId="0" applyFont="1" applyFill="1" applyBorder="1" applyAlignment="1">
      <alignment horizontal="center" vertical="center"/>
    </xf>
    <xf numFmtId="169" fontId="0" fillId="3" borderId="0" xfId="0" quotePrefix="1" applyNumberFormat="1" applyFill="1" applyAlignment="1">
      <alignment horizontal="left" vertical="center"/>
    </xf>
    <xf numFmtId="3" fontId="15" fillId="6" borderId="0" xfId="1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4" fontId="0" fillId="4" borderId="0" xfId="0" applyFill="1" applyAlignment="1">
      <alignment horizontal="center" vertical="center"/>
    </xf>
    <xf numFmtId="4" fontId="13" fillId="3" borderId="1" xfId="0" applyFont="1" applyFill="1" applyBorder="1" applyAlignment="1">
      <alignment horizontal="center" vertical="center"/>
    </xf>
    <xf numFmtId="170" fontId="13" fillId="3" borderId="11" xfId="0" applyNumberFormat="1" applyFont="1" applyFill="1" applyBorder="1" applyAlignment="1">
      <alignment horizontal="right" vertical="center"/>
    </xf>
    <xf numFmtId="4" fontId="13" fillId="3" borderId="11" xfId="0" applyFont="1" applyFill="1" applyBorder="1" applyAlignment="1">
      <alignment horizontal="center" vertical="center"/>
    </xf>
    <xf numFmtId="4" fontId="0" fillId="7" borderId="0" xfId="0" applyFill="1" applyBorder="1" applyAlignment="1">
      <alignment horizontal="right" vertical="center"/>
    </xf>
    <xf numFmtId="170" fontId="0" fillId="7" borderId="0" xfId="0" applyNumberFormat="1" applyFill="1" applyBorder="1" applyAlignment="1">
      <alignment horizontal="left" vertical="center"/>
    </xf>
    <xf numFmtId="4" fontId="0" fillId="7" borderId="0" xfId="0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4" fontId="0" fillId="5" borderId="11" xfId="0" applyFill="1" applyBorder="1" applyAlignment="1">
      <alignment horizontal="center" vertical="center"/>
    </xf>
    <xf numFmtId="4" fontId="15" fillId="5" borderId="11" xfId="0" applyFont="1" applyFill="1" applyBorder="1" applyAlignment="1">
      <alignment horizontal="right" vertical="center"/>
    </xf>
    <xf numFmtId="3" fontId="0" fillId="5" borderId="11" xfId="0" applyNumberFormat="1" applyFill="1" applyBorder="1" applyAlignment="1">
      <alignment horizontal="left" vertical="center"/>
    </xf>
    <xf numFmtId="170" fontId="15" fillId="3" borderId="0" xfId="0" applyNumberFormat="1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4" fontId="15" fillId="5" borderId="0" xfId="0" applyNumberFormat="1" applyFont="1" applyFill="1" applyAlignment="1">
      <alignment horizontal="center" vertical="center"/>
    </xf>
    <xf numFmtId="169" fontId="16" fillId="4" borderId="0" xfId="0" applyNumberFormat="1" applyFont="1" applyFill="1" applyAlignment="1">
      <alignment horizontal="right" vertical="center"/>
    </xf>
    <xf numFmtId="169" fontId="15" fillId="4" borderId="0" xfId="0" applyNumberFormat="1" applyFont="1" applyFill="1" applyAlignment="1">
      <alignment horizontal="left" vertical="center"/>
    </xf>
    <xf numFmtId="169" fontId="15" fillId="4" borderId="0" xfId="0" applyNumberFormat="1" applyFont="1" applyFill="1" applyAlignment="1">
      <alignment horizontal="center" vertical="center"/>
    </xf>
    <xf numFmtId="170" fontId="0" fillId="0" borderId="0" xfId="0" applyNumberFormat="1" applyFill="1" applyBorder="1" applyAlignment="1">
      <alignment horizontal="left" vertical="center"/>
    </xf>
    <xf numFmtId="169" fontId="16" fillId="3" borderId="0" xfId="0" applyNumberFormat="1" applyFont="1" applyFill="1" applyBorder="1" applyAlignment="1">
      <alignment horizontal="right" vertical="center"/>
    </xf>
    <xf numFmtId="4" fontId="15" fillId="6" borderId="1" xfId="0" applyFont="1" applyFill="1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15" fillId="6" borderId="0" xfId="0" applyFont="1" applyFill="1" applyBorder="1">
      <alignment horizontal="center" vertical="center"/>
    </xf>
    <xf numFmtId="4" fontId="15" fillId="6" borderId="0" xfId="0" applyFont="1" applyFill="1" applyBorder="1" applyAlignment="1">
      <alignment horizontal="right"/>
    </xf>
    <xf numFmtId="4" fontId="15" fillId="6" borderId="0" xfId="0" quotePrefix="1" applyFont="1" applyFill="1" applyBorder="1" applyAlignment="1">
      <alignment horizontal="left" vertical="center"/>
    </xf>
    <xf numFmtId="4" fontId="15" fillId="5" borderId="0" xfId="0" quotePrefix="1" applyFont="1" applyFill="1" applyBorder="1" applyAlignment="1">
      <alignment horizontal="left" vertical="center"/>
    </xf>
    <xf numFmtId="4" fontId="15" fillId="5" borderId="0" xfId="0" applyFont="1" applyFill="1" applyBorder="1" applyAlignment="1">
      <alignment horizontal="left" vertical="center"/>
    </xf>
    <xf numFmtId="169" fontId="15" fillId="5" borderId="0" xfId="0" quotePrefix="1" applyNumberFormat="1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4" fontId="15" fillId="5" borderId="17" xfId="0" applyFont="1" applyFill="1" applyBorder="1" applyAlignment="1">
      <alignment horizontal="right" vertical="center"/>
    </xf>
    <xf numFmtId="4" fontId="15" fillId="5" borderId="0" xfId="0" applyFont="1" applyFill="1" applyBorder="1" applyAlignment="1">
      <alignment horizontal="right" vertical="center" textRotation="90" wrapText="1"/>
    </xf>
    <xf numFmtId="4" fontId="9" fillId="8" borderId="18" xfId="0" applyFont="1" applyFill="1" applyBorder="1">
      <alignment horizontal="center" vertical="center"/>
    </xf>
    <xf numFmtId="4" fontId="9" fillId="8" borderId="12" xfId="0" applyFont="1" applyFill="1" applyBorder="1">
      <alignment horizontal="center" vertical="center"/>
    </xf>
    <xf numFmtId="4" fontId="15" fillId="5" borderId="18" xfId="0" applyFont="1" applyFill="1" applyBorder="1" applyAlignment="1">
      <alignment horizontal="right" vertical="center"/>
    </xf>
    <xf numFmtId="4" fontId="15" fillId="5" borderId="13" xfId="0" applyFont="1" applyFill="1" applyBorder="1" applyAlignment="1">
      <alignment horizontal="right" vertical="center"/>
    </xf>
    <xf numFmtId="3" fontId="15" fillId="5" borderId="13" xfId="0" applyNumberFormat="1" applyFont="1" applyFill="1" applyBorder="1" applyAlignment="1">
      <alignment horizontal="center" vertical="center"/>
    </xf>
    <xf numFmtId="3" fontId="15" fillId="5" borderId="14" xfId="0" applyNumberFormat="1" applyFont="1" applyFill="1" applyBorder="1" applyAlignment="1">
      <alignment horizontal="center" vertical="center"/>
    </xf>
    <xf numFmtId="3" fontId="15" fillId="5" borderId="13" xfId="0" applyNumberFormat="1" applyFont="1" applyFill="1" applyBorder="1">
      <alignment horizontal="center" vertical="center"/>
    </xf>
    <xf numFmtId="169" fontId="15" fillId="5" borderId="13" xfId="0" applyNumberFormat="1" applyFont="1" applyFill="1" applyBorder="1" applyAlignment="1">
      <alignment horizontal="center" vertical="center"/>
    </xf>
    <xf numFmtId="169" fontId="15" fillId="5" borderId="21" xfId="0" applyNumberFormat="1" applyFont="1" applyFill="1" applyBorder="1" applyAlignment="1">
      <alignment horizontal="center" vertical="center"/>
    </xf>
    <xf numFmtId="4" fontId="15" fillId="5" borderId="22" xfId="0" applyFont="1" applyFill="1" applyBorder="1" applyAlignment="1">
      <alignment horizontal="right" vertical="center"/>
    </xf>
    <xf numFmtId="169" fontId="15" fillId="5" borderId="23" xfId="0" applyNumberFormat="1" applyFont="1" applyFill="1" applyBorder="1" applyAlignment="1">
      <alignment horizontal="center" vertical="center"/>
    </xf>
    <xf numFmtId="169" fontId="15" fillId="6" borderId="23" xfId="0" applyNumberFormat="1" applyFont="1" applyFill="1" applyBorder="1" applyAlignment="1">
      <alignment horizontal="right"/>
    </xf>
    <xf numFmtId="169" fontId="15" fillId="6" borderId="18" xfId="0" quotePrefix="1" applyNumberFormat="1" applyFont="1" applyFill="1" applyBorder="1" applyAlignment="1">
      <alignment horizontal="left" vertical="center"/>
    </xf>
    <xf numFmtId="4" fontId="15" fillId="6" borderId="18" xfId="0" applyFont="1" applyFill="1" applyBorder="1" applyAlignment="1">
      <alignment horizontal="center" vertical="center"/>
    </xf>
    <xf numFmtId="3" fontId="15" fillId="5" borderId="25" xfId="0" applyNumberFormat="1" applyFont="1" applyFill="1" applyBorder="1" applyAlignment="1">
      <alignment horizontal="center" vertical="center"/>
    </xf>
    <xf numFmtId="4" fontId="15" fillId="6" borderId="18" xfId="0" applyFont="1" applyFill="1" applyBorder="1">
      <alignment horizontal="center" vertical="center"/>
    </xf>
    <xf numFmtId="4" fontId="15" fillId="5" borderId="18" xfId="0" applyFont="1" applyFill="1" applyBorder="1" applyAlignment="1">
      <alignment horizontal="right" vertical="center" textRotation="90" wrapText="1"/>
    </xf>
    <xf numFmtId="4" fontId="15" fillId="6" borderId="11" xfId="0" applyFont="1" applyFill="1" applyBorder="1" applyAlignment="1">
      <alignment horizontal="center" vertical="center"/>
    </xf>
    <xf numFmtId="4" fontId="16" fillId="4" borderId="11" xfId="0" applyNumberFormat="1" applyFont="1" applyFill="1" applyBorder="1" applyAlignment="1">
      <alignment horizontal="center" vertical="center"/>
    </xf>
    <xf numFmtId="4" fontId="15" fillId="5" borderId="11" xfId="0" applyNumberFormat="1" applyFont="1" applyFill="1" applyBorder="1" applyAlignment="1">
      <alignment horizontal="center" vertical="center"/>
    </xf>
    <xf numFmtId="4" fontId="15" fillId="3" borderId="18" xfId="0" applyFont="1" applyFill="1" applyBorder="1" applyAlignment="1">
      <alignment horizontal="center" vertical="center"/>
    </xf>
    <xf numFmtId="4" fontId="15" fillId="3" borderId="18" xfId="0" applyFont="1" applyFill="1" applyBorder="1" applyAlignment="1">
      <alignment horizontal="right" vertical="center"/>
    </xf>
    <xf numFmtId="170" fontId="15" fillId="3" borderId="18" xfId="0" applyNumberFormat="1" applyFont="1" applyFill="1" applyBorder="1" applyAlignment="1">
      <alignment horizontal="center" vertical="center"/>
    </xf>
    <xf numFmtId="4" fontId="0" fillId="3" borderId="18" xfId="0" applyFill="1" applyBorder="1" applyAlignment="1">
      <alignment horizontal="center" vertical="center"/>
    </xf>
    <xf numFmtId="4" fontId="15" fillId="2" borderId="0" xfId="0" applyFont="1" applyFill="1" applyAlignment="1">
      <alignment horizontal="center" vertical="center"/>
    </xf>
    <xf numFmtId="4" fontId="15" fillId="6" borderId="0" xfId="0" applyNumberFormat="1" applyFont="1" applyFill="1" applyAlignment="1">
      <alignment horizontal="center" vertical="center"/>
    </xf>
    <xf numFmtId="4" fontId="15" fillId="4" borderId="0" xfId="0" applyNumberFormat="1" applyFont="1" applyFill="1" applyAlignment="1">
      <alignment horizontal="center" vertical="center"/>
    </xf>
    <xf numFmtId="4" fontId="15" fillId="5" borderId="0" xfId="0" applyNumberFormat="1" applyFont="1" applyFill="1" applyAlignment="1">
      <alignment horizontal="center" vertical="center"/>
    </xf>
    <xf numFmtId="4" fontId="22" fillId="2" borderId="0" xfId="0" applyFont="1" applyFill="1" applyAlignment="1">
      <alignment horizontal="right" vertical="center"/>
    </xf>
    <xf numFmtId="4" fontId="15" fillId="6" borderId="11" xfId="0" applyNumberFormat="1" applyFont="1" applyFill="1" applyBorder="1" applyAlignment="1">
      <alignment horizontal="center" vertical="center"/>
    </xf>
    <xf numFmtId="4" fontId="15" fillId="6" borderId="0" xfId="0" applyFont="1" applyFill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4" fontId="13" fillId="3" borderId="0" xfId="0" applyFont="1" applyFill="1" applyBorder="1" applyAlignment="1">
      <alignment horizontal="left" vertical="center"/>
    </xf>
    <xf numFmtId="4" fontId="15" fillId="5" borderId="11" xfId="0" applyFont="1" applyFill="1" applyBorder="1" applyAlignment="1">
      <alignment horizontal="center" vertical="center" wrapText="1"/>
    </xf>
    <xf numFmtId="170" fontId="13" fillId="3" borderId="0" xfId="0" applyNumberFormat="1" applyFont="1" applyFill="1" applyAlignment="1">
      <alignment horizontal="center" vertical="center"/>
    </xf>
    <xf numFmtId="4" fontId="15" fillId="5" borderId="30" xfId="0" applyFont="1" applyFill="1" applyBorder="1" applyAlignment="1">
      <alignment horizontal="center" vertical="center"/>
    </xf>
    <xf numFmtId="2" fontId="15" fillId="5" borderId="30" xfId="0" applyNumberFormat="1" applyFont="1" applyFill="1" applyBorder="1" applyAlignment="1">
      <alignment horizontal="center" vertical="center"/>
    </xf>
    <xf numFmtId="4" fontId="15" fillId="5" borderId="23" xfId="0" applyFont="1" applyFill="1" applyBorder="1" applyAlignment="1">
      <alignment horizontal="right" vertical="center"/>
    </xf>
    <xf numFmtId="4" fontId="15" fillId="5" borderId="18" xfId="0" applyNumberFormat="1" applyFont="1" applyFill="1" applyBorder="1" applyAlignment="1">
      <alignment horizontal="left" vertical="center"/>
    </xf>
    <xf numFmtId="3" fontId="16" fillId="4" borderId="18" xfId="0" applyNumberFormat="1" applyFont="1" applyFill="1" applyBorder="1" applyAlignment="1">
      <alignment horizontal="right" vertical="center"/>
    </xf>
    <xf numFmtId="4" fontId="15" fillId="4" borderId="23" xfId="0" applyFont="1" applyFill="1" applyBorder="1" applyAlignment="1">
      <alignment horizontal="left" vertical="center"/>
    </xf>
    <xf numFmtId="3" fontId="16" fillId="4" borderId="30" xfId="0" applyNumberFormat="1" applyFont="1" applyFill="1" applyBorder="1" applyAlignment="1">
      <alignment horizontal="right" vertical="center"/>
    </xf>
    <xf numFmtId="3" fontId="15" fillId="4" borderId="30" xfId="0" applyNumberFormat="1" applyFont="1" applyFill="1" applyBorder="1" applyAlignment="1">
      <alignment horizontal="center" vertical="center"/>
    </xf>
    <xf numFmtId="3" fontId="15" fillId="4" borderId="31" xfId="0" applyNumberFormat="1" applyFont="1" applyFill="1" applyBorder="1" applyAlignment="1">
      <alignment horizontal="center" vertical="center"/>
    </xf>
    <xf numFmtId="4" fontId="9" fillId="4" borderId="0" xfId="0" applyFont="1" applyFill="1">
      <alignment horizontal="center" vertical="center"/>
    </xf>
    <xf numFmtId="4" fontId="15" fillId="0" borderId="0" xfId="0" applyFont="1" applyBorder="1" applyAlignment="1">
      <alignment horizontal="center" vertical="center"/>
    </xf>
    <xf numFmtId="170" fontId="15" fillId="3" borderId="0" xfId="0" applyNumberFormat="1" applyFont="1" applyFill="1" applyBorder="1" applyAlignment="1"/>
    <xf numFmtId="4" fontId="15" fillId="3" borderId="0" xfId="0" applyFont="1" applyFill="1" applyAlignment="1">
      <alignment horizontal="center"/>
    </xf>
    <xf numFmtId="4" fontId="15" fillId="3" borderId="0" xfId="0" applyFont="1" applyFill="1" applyBorder="1" applyAlignment="1">
      <alignment horizontal="right"/>
    </xf>
    <xf numFmtId="169" fontId="15" fillId="3" borderId="0" xfId="0" applyNumberFormat="1" applyFont="1" applyFill="1" applyBorder="1" applyAlignment="1">
      <alignment horizontal="left"/>
    </xf>
    <xf numFmtId="3" fontId="15" fillId="3" borderId="0" xfId="0" applyNumberFormat="1" applyFont="1" applyFill="1" applyBorder="1" applyAlignment="1">
      <alignment horizontal="left"/>
    </xf>
    <xf numFmtId="170" fontId="15" fillId="3" borderId="0" xfId="0" applyNumberFormat="1" applyFont="1" applyFill="1" applyBorder="1" applyAlignment="1">
      <alignment horizontal="left"/>
    </xf>
    <xf numFmtId="4" fontId="15" fillId="3" borderId="0" xfId="0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left"/>
    </xf>
    <xf numFmtId="4" fontId="15" fillId="3" borderId="0" xfId="0" applyFont="1" applyFill="1" applyAlignment="1">
      <alignment horizontal="right"/>
    </xf>
    <xf numFmtId="3" fontId="15" fillId="3" borderId="0" xfId="0" applyNumberFormat="1" applyFont="1" applyFill="1" applyAlignment="1">
      <alignment horizontal="left"/>
    </xf>
    <xf numFmtId="4" fontId="15" fillId="3" borderId="0" xfId="0" applyFont="1" applyFill="1" applyAlignment="1">
      <alignment horizontal="left"/>
    </xf>
    <xf numFmtId="4" fontId="15" fillId="3" borderId="11" xfId="0" applyFont="1" applyFill="1" applyBorder="1" applyAlignment="1">
      <alignment horizontal="center"/>
    </xf>
    <xf numFmtId="4" fontId="15" fillId="3" borderId="11" xfId="0" applyFont="1" applyFill="1" applyBorder="1" applyAlignment="1">
      <alignment horizontal="right"/>
    </xf>
    <xf numFmtId="170" fontId="15" fillId="3" borderId="11" xfId="0" applyNumberFormat="1" applyFont="1" applyFill="1" applyBorder="1" applyAlignment="1">
      <alignment horizontal="left"/>
    </xf>
    <xf numFmtId="4" fontId="9" fillId="3" borderId="0" xfId="0" applyFont="1" applyFill="1" applyAlignment="1">
      <alignment horizontal="center"/>
    </xf>
    <xf numFmtId="3" fontId="15" fillId="3" borderId="0" xfId="0" applyNumberFormat="1" applyFont="1" applyFill="1" applyAlignment="1">
      <alignment horizontal="left"/>
    </xf>
    <xf numFmtId="170" fontId="15" fillId="3" borderId="0" xfId="0" applyNumberFormat="1" applyFont="1" applyFill="1" applyAlignment="1">
      <alignment horizontal="left"/>
    </xf>
    <xf numFmtId="3" fontId="15" fillId="3" borderId="0" xfId="0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left"/>
    </xf>
    <xf numFmtId="4" fontId="15" fillId="3" borderId="0" xfId="0" applyNumberFormat="1" applyFont="1" applyFill="1" applyBorder="1" applyAlignment="1">
      <alignment horizontal="left"/>
    </xf>
    <xf numFmtId="4" fontId="15" fillId="3" borderId="0" xfId="0" applyNumberFormat="1" applyFont="1" applyFill="1" applyBorder="1" applyAlignment="1">
      <alignment horizontal="left"/>
    </xf>
    <xf numFmtId="4" fontId="13" fillId="3" borderId="0" xfId="0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left"/>
    </xf>
    <xf numFmtId="4" fontId="15" fillId="3" borderId="0" xfId="0" applyFont="1" applyFill="1" applyBorder="1" applyAlignment="1">
      <alignment horizontal="left"/>
    </xf>
    <xf numFmtId="170" fontId="15" fillId="3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left"/>
    </xf>
    <xf numFmtId="3" fontId="15" fillId="3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right"/>
    </xf>
    <xf numFmtId="4" fontId="15" fillId="3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left"/>
    </xf>
    <xf numFmtId="3" fontId="15" fillId="3" borderId="0" xfId="0" applyNumberFormat="1" applyFont="1" applyFill="1" applyBorder="1" applyAlignment="1">
      <alignment horizontal="right"/>
    </xf>
    <xf numFmtId="3" fontId="16" fillId="4" borderId="34" xfId="0" applyNumberFormat="1" applyFont="1" applyFill="1" applyBorder="1" applyAlignment="1">
      <alignment horizontal="right" vertical="center"/>
    </xf>
    <xf numFmtId="4" fontId="15" fillId="6" borderId="0" xfId="0" applyFont="1" applyFill="1" applyBorder="1" applyAlignment="1">
      <alignment horizontal="center"/>
    </xf>
    <xf numFmtId="3" fontId="16" fillId="6" borderId="0" xfId="0" applyNumberFormat="1" applyFont="1" applyFill="1" applyBorder="1" applyAlignment="1">
      <alignment horizontal="right"/>
    </xf>
    <xf numFmtId="4" fontId="15" fillId="6" borderId="0" xfId="0" applyFont="1" applyFill="1" applyBorder="1" applyAlignment="1">
      <alignment horizontal="left"/>
    </xf>
    <xf numFmtId="9" fontId="15" fillId="6" borderId="0" xfId="1" applyFont="1" applyFill="1" applyBorder="1" applyAlignment="1">
      <alignment horizontal="left"/>
    </xf>
    <xf numFmtId="3" fontId="15" fillId="6" borderId="0" xfId="0" applyNumberFormat="1" applyFont="1" applyFill="1" applyBorder="1" applyAlignment="1">
      <alignment horizontal="right"/>
    </xf>
    <xf numFmtId="3" fontId="15" fillId="6" borderId="0" xfId="0" applyNumberFormat="1" applyFont="1" applyFill="1" applyBorder="1" applyAlignment="1">
      <alignment horizontal="left"/>
    </xf>
    <xf numFmtId="4" fontId="15" fillId="4" borderId="27" xfId="0" applyFont="1" applyFill="1" applyBorder="1" applyAlignment="1">
      <alignment horizontal="right" vertical="center"/>
    </xf>
    <xf numFmtId="4" fontId="15" fillId="4" borderId="11" xfId="0" applyFont="1" applyFill="1" applyBorder="1" applyAlignment="1">
      <alignment horizontal="right" vertical="center"/>
    </xf>
    <xf numFmtId="3" fontId="15" fillId="4" borderId="14" xfId="0" applyNumberFormat="1" applyFont="1" applyFill="1" applyBorder="1" applyAlignment="1">
      <alignment horizontal="left" vertical="center"/>
    </xf>
    <xf numFmtId="4" fontId="15" fillId="6" borderId="0" xfId="0" applyFont="1" applyFill="1" applyBorder="1" applyAlignment="1">
      <alignment horizontal="center" vertical="center"/>
    </xf>
    <xf numFmtId="4" fontId="15" fillId="5" borderId="0" xfId="0" applyFont="1" applyFill="1" applyBorder="1" applyAlignment="1">
      <alignment horizontal="right" vertical="center" textRotation="90" wrapText="1"/>
    </xf>
    <xf numFmtId="4" fontId="15" fillId="5" borderId="18" xfId="0" applyFont="1" applyFill="1" applyBorder="1" applyAlignment="1">
      <alignment horizontal="right" vertical="center" textRotation="90" wrapText="1"/>
    </xf>
    <xf numFmtId="4" fontId="9" fillId="0" borderId="0" xfId="0" applyFont="1" applyBorder="1" applyAlignment="1">
      <alignment horizontal="center" vertical="center"/>
    </xf>
    <xf numFmtId="4" fontId="9" fillId="0" borderId="0" xfId="0" applyFont="1" applyAlignment="1">
      <alignment horizontal="center" vertical="center" textRotation="90" wrapText="1"/>
    </xf>
    <xf numFmtId="169" fontId="15" fillId="5" borderId="0" xfId="0" applyNumberFormat="1" applyFont="1" applyFill="1" applyAlignment="1">
      <alignment horizontal="center" vertical="center"/>
    </xf>
    <xf numFmtId="169" fontId="15" fillId="5" borderId="0" xfId="0" applyNumberFormat="1" applyFont="1" applyFill="1" applyAlignment="1">
      <alignment horizontal="center" vertical="center"/>
    </xf>
    <xf numFmtId="4" fontId="13" fillId="3" borderId="0" xfId="0" applyFont="1" applyFill="1" applyAlignment="1">
      <alignment horizontal="left" vertical="center"/>
    </xf>
    <xf numFmtId="4" fontId="9" fillId="0" borderId="0" xfId="0" applyFont="1" applyBorder="1" applyAlignment="1">
      <alignment horizontal="center" vertical="center"/>
    </xf>
    <xf numFmtId="4" fontId="9" fillId="6" borderId="0" xfId="0" applyFont="1" applyFill="1" applyAlignment="1">
      <alignment horizontal="center" vertical="center"/>
    </xf>
    <xf numFmtId="170" fontId="15" fillId="4" borderId="0" xfId="0" applyNumberFormat="1" applyFont="1" applyFill="1" applyAlignment="1">
      <alignment horizontal="center" vertical="center"/>
    </xf>
    <xf numFmtId="4" fontId="16" fillId="4" borderId="18" xfId="0" applyFont="1" applyFill="1" applyBorder="1" applyAlignment="1">
      <alignment horizontal="right" vertical="center"/>
    </xf>
    <xf numFmtId="4" fontId="15" fillId="4" borderId="18" xfId="0" applyFont="1" applyFill="1" applyBorder="1" applyAlignment="1">
      <alignment horizontal="center" vertical="center"/>
    </xf>
    <xf numFmtId="4" fontId="15" fillId="4" borderId="18" xfId="0" applyFont="1" applyFill="1" applyBorder="1" applyAlignment="1">
      <alignment horizontal="left" vertical="center"/>
    </xf>
    <xf numFmtId="4" fontId="15" fillId="4" borderId="0" xfId="0" applyFont="1" applyFill="1" applyAlignment="1">
      <alignment horizontal="center" vertical="center" wrapText="1"/>
    </xf>
    <xf numFmtId="4" fontId="9" fillId="4" borderId="18" xfId="0" applyFont="1" applyFill="1" applyBorder="1" applyAlignment="1">
      <alignment horizontal="center" vertical="center"/>
    </xf>
    <xf numFmtId="4" fontId="15" fillId="5" borderId="18" xfId="0" quotePrefix="1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left" vertical="center"/>
    </xf>
    <xf numFmtId="4" fontId="0" fillId="7" borderId="0" xfId="0" applyNumberFormat="1" applyFill="1" applyBorder="1" applyAlignment="1">
      <alignment horizontal="left" vertical="center"/>
    </xf>
    <xf numFmtId="4" fontId="13" fillId="3" borderId="0" xfId="0" applyNumberFormat="1" applyFont="1" applyFill="1" applyAlignment="1">
      <alignment horizontal="right" vertical="center"/>
    </xf>
    <xf numFmtId="4" fontId="0" fillId="7" borderId="0" xfId="0" applyNumberFormat="1" applyFill="1" applyBorder="1" applyAlignment="1">
      <alignment horizontal="left" vertical="center"/>
    </xf>
    <xf numFmtId="4" fontId="15" fillId="3" borderId="0" xfId="0" applyNumberFormat="1" applyFont="1" applyFill="1" applyBorder="1" applyAlignment="1">
      <alignment horizontal="right"/>
    </xf>
    <xf numFmtId="170" fontId="0" fillId="0" borderId="0" xfId="0" applyNumberFormat="1" applyAlignment="1">
      <alignment horizontal="center" vertical="center"/>
    </xf>
    <xf numFmtId="4" fontId="15" fillId="9" borderId="11" xfId="0" applyFont="1" applyFill="1" applyBorder="1">
      <alignment horizontal="center" vertical="center"/>
    </xf>
    <xf numFmtId="4" fontId="15" fillId="9" borderId="0" xfId="0" applyFont="1" applyFill="1">
      <alignment horizontal="center" vertical="center"/>
    </xf>
    <xf numFmtId="4" fontId="15" fillId="10" borderId="11" xfId="0" applyNumberFormat="1" applyFont="1" applyFill="1" applyBorder="1" applyAlignment="1">
      <alignment horizontal="center" vertical="center"/>
    </xf>
    <xf numFmtId="169" fontId="15" fillId="10" borderId="0" xfId="0" applyNumberFormat="1" applyFont="1" applyFill="1" applyAlignment="1">
      <alignment horizontal="center" vertical="center"/>
    </xf>
    <xf numFmtId="4" fontId="15" fillId="10" borderId="0" xfId="0" applyFont="1" applyFill="1" applyBorder="1" applyAlignment="1">
      <alignment horizontal="center" vertical="center"/>
    </xf>
    <xf numFmtId="4" fontId="15" fillId="10" borderId="0" xfId="0" applyFont="1" applyFill="1" applyBorder="1" applyAlignment="1">
      <alignment horizontal="left" vertical="center"/>
    </xf>
    <xf numFmtId="4" fontId="16" fillId="10" borderId="0" xfId="0" applyFont="1" applyFill="1" applyBorder="1" applyAlignment="1">
      <alignment horizontal="right" vertical="center"/>
    </xf>
    <xf numFmtId="4" fontId="15" fillId="10" borderId="0" xfId="0" applyFont="1" applyFill="1" applyBorder="1">
      <alignment horizontal="center" vertical="center"/>
    </xf>
    <xf numFmtId="3" fontId="15" fillId="10" borderId="0" xfId="0" applyNumberFormat="1" applyFont="1" applyFill="1" applyBorder="1" applyAlignment="1">
      <alignment horizontal="center" vertical="center"/>
    </xf>
    <xf numFmtId="4" fontId="15" fillId="10" borderId="0" xfId="0" applyNumberFormat="1" applyFont="1" applyFill="1" applyBorder="1" applyAlignment="1">
      <alignment horizontal="center" vertical="center"/>
    </xf>
    <xf numFmtId="4" fontId="15" fillId="10" borderId="0" xfId="0" applyNumberFormat="1" applyFont="1" applyFill="1" applyBorder="1" applyAlignment="1">
      <alignment horizontal="right" vertical="center"/>
    </xf>
    <xf numFmtId="4" fontId="16" fillId="5" borderId="0" xfId="0" applyFont="1" applyFill="1" applyBorder="1" applyAlignment="1">
      <alignment horizontal="right" vertical="center"/>
    </xf>
    <xf numFmtId="4" fontId="15" fillId="5" borderId="0" xfId="0" applyFont="1" applyFill="1" applyBorder="1">
      <alignment horizontal="center" vertical="center"/>
    </xf>
    <xf numFmtId="4" fontId="15" fillId="5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horizontal="right" vertical="center"/>
    </xf>
    <xf numFmtId="4" fontId="15" fillId="3" borderId="37" xfId="0" applyFont="1" applyFill="1" applyBorder="1">
      <alignment horizontal="center" vertical="center"/>
    </xf>
    <xf numFmtId="4" fontId="15" fillId="3" borderId="38" xfId="0" applyFont="1" applyFill="1" applyBorder="1">
      <alignment horizontal="center" vertical="center"/>
    </xf>
    <xf numFmtId="4" fontId="15" fillId="3" borderId="35" xfId="0" applyFont="1" applyFill="1" applyBorder="1">
      <alignment horizontal="center" vertical="center"/>
    </xf>
    <xf numFmtId="4" fontId="15" fillId="3" borderId="36" xfId="0" applyNumberFormat="1" applyFont="1" applyFill="1" applyBorder="1">
      <alignment horizontal="center" vertical="center"/>
    </xf>
    <xf numFmtId="4" fontId="15" fillId="3" borderId="0" xfId="0" applyFont="1" applyFill="1" applyBorder="1" applyAlignment="1">
      <alignment vertical="center"/>
    </xf>
    <xf numFmtId="4" fontId="16" fillId="4" borderId="11" xfId="0" applyFont="1" applyFill="1" applyBorder="1" applyAlignment="1">
      <alignment horizontal="center" vertical="center"/>
    </xf>
    <xf numFmtId="4" fontId="15" fillId="5" borderId="11" xfId="0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left" vertical="center"/>
    </xf>
    <xf numFmtId="4" fontId="9" fillId="11" borderId="0" xfId="0" applyFont="1" applyFill="1" applyBorder="1" applyAlignment="1">
      <alignment horizontal="center" vertical="center"/>
    </xf>
    <xf numFmtId="4" fontId="16" fillId="11" borderId="0" xfId="0" applyFont="1" applyFill="1" applyBorder="1" applyAlignment="1">
      <alignment horizontal="right" vertical="center"/>
    </xf>
    <xf numFmtId="2" fontId="15" fillId="11" borderId="0" xfId="0" applyNumberFormat="1" applyFont="1" applyFill="1" applyBorder="1" applyAlignment="1">
      <alignment horizontal="left" vertical="center"/>
    </xf>
    <xf numFmtId="4" fontId="15" fillId="11" borderId="0" xfId="0" applyFont="1" applyFill="1" applyBorder="1" applyAlignment="1">
      <alignment horizontal="right" vertical="center"/>
    </xf>
    <xf numFmtId="9" fontId="15" fillId="11" borderId="0" xfId="1" applyFont="1" applyFill="1" applyBorder="1" applyAlignment="1">
      <alignment horizontal="left" vertical="center"/>
    </xf>
    <xf numFmtId="4" fontId="9" fillId="11" borderId="0" xfId="0" applyFont="1" applyFill="1" applyBorder="1" applyAlignment="1">
      <alignment horizontal="right" vertical="center"/>
    </xf>
    <xf numFmtId="4" fontId="16" fillId="11" borderId="0" xfId="0" applyFont="1" applyFill="1" applyBorder="1" applyAlignment="1">
      <alignment horizontal="center" vertical="center"/>
    </xf>
    <xf numFmtId="4" fontId="15" fillId="11" borderId="0" xfId="0" applyFont="1" applyFill="1" applyBorder="1" applyAlignment="1">
      <alignment horizontal="center" vertical="center"/>
    </xf>
    <xf numFmtId="4" fontId="13" fillId="11" borderId="0" xfId="0" applyFont="1" applyFill="1" applyBorder="1" applyAlignment="1">
      <alignment horizontal="center" vertical="center"/>
    </xf>
    <xf numFmtId="4" fontId="14" fillId="11" borderId="0" xfId="0" applyFont="1" applyFill="1" applyBorder="1" applyAlignment="1">
      <alignment horizontal="left" vertical="center"/>
    </xf>
    <xf numFmtId="4" fontId="15" fillId="11" borderId="0" xfId="0" applyNumberFormat="1" applyFont="1" applyFill="1" applyBorder="1" applyAlignment="1">
      <alignment horizontal="center" vertical="center"/>
    </xf>
    <xf numFmtId="170" fontId="13" fillId="11" borderId="0" xfId="0" applyNumberFormat="1" applyFont="1" applyFill="1" applyBorder="1" applyAlignment="1">
      <alignment horizontal="center" vertical="center"/>
    </xf>
    <xf numFmtId="4" fontId="15" fillId="11" borderId="0" xfId="0" applyFont="1" applyFill="1" applyBorder="1" applyAlignment="1">
      <alignment horizontal="left" vertical="center"/>
    </xf>
    <xf numFmtId="4" fontId="9" fillId="11" borderId="0" xfId="0" applyFont="1" applyFill="1" applyBorder="1" applyAlignment="1">
      <alignment vertical="center" wrapText="1"/>
    </xf>
    <xf numFmtId="4" fontId="15" fillId="11" borderId="0" xfId="0" applyFont="1" applyFill="1" applyBorder="1" applyAlignment="1">
      <alignment horizontal="center" vertical="center" wrapText="1"/>
    </xf>
    <xf numFmtId="4" fontId="18" fillId="11" borderId="0" xfId="0" applyFont="1" applyFill="1" applyBorder="1" applyAlignment="1">
      <alignment horizontal="left" vertical="center"/>
    </xf>
    <xf numFmtId="3" fontId="15" fillId="11" borderId="0" xfId="0" applyNumberFormat="1" applyFont="1" applyFill="1" applyBorder="1" applyAlignment="1">
      <alignment horizontal="center" vertical="center"/>
    </xf>
    <xf numFmtId="169" fontId="15" fillId="11" borderId="0" xfId="0" applyNumberFormat="1" applyFont="1" applyFill="1" applyBorder="1" applyAlignment="1">
      <alignment horizontal="center" vertical="center"/>
    </xf>
    <xf numFmtId="168" fontId="15" fillId="11" borderId="0" xfId="0" applyNumberFormat="1" applyFont="1" applyFill="1" applyBorder="1" applyAlignment="1">
      <alignment horizontal="center" vertical="center"/>
    </xf>
    <xf numFmtId="2" fontId="15" fillId="11" borderId="0" xfId="0" applyNumberFormat="1" applyFont="1" applyFill="1" applyBorder="1" applyAlignment="1">
      <alignment horizontal="center" vertical="center"/>
    </xf>
    <xf numFmtId="4" fontId="11" fillId="11" borderId="0" xfId="0" applyFont="1" applyFill="1" applyBorder="1" applyAlignment="1">
      <alignment horizontal="right" vertical="center"/>
    </xf>
    <xf numFmtId="4" fontId="13" fillId="11" borderId="0" xfId="0" applyFont="1" applyFill="1" applyBorder="1" applyAlignment="1">
      <alignment horizontal="right" vertical="center"/>
    </xf>
    <xf numFmtId="2" fontId="13" fillId="11" borderId="0" xfId="0" applyNumberFormat="1" applyFont="1" applyFill="1" applyBorder="1" applyAlignment="1">
      <alignment horizontal="center" vertical="center"/>
    </xf>
    <xf numFmtId="4" fontId="13" fillId="11" borderId="0" xfId="0" applyFont="1" applyFill="1" applyBorder="1" applyAlignment="1">
      <alignment vertical="center"/>
    </xf>
    <xf numFmtId="4" fontId="9" fillId="11" borderId="0" xfId="0" applyFont="1" applyFill="1" applyBorder="1" applyAlignment="1">
      <alignment horizontal="left" vertical="center"/>
    </xf>
    <xf numFmtId="4" fontId="15" fillId="11" borderId="0" xfId="0" quotePrefix="1" applyFont="1" applyFill="1" applyBorder="1" applyAlignment="1">
      <alignment horizontal="left" vertical="center"/>
    </xf>
    <xf numFmtId="171" fontId="15" fillId="11" borderId="0" xfId="0" applyNumberFormat="1" applyFont="1" applyFill="1" applyBorder="1" applyAlignment="1">
      <alignment horizontal="center" vertical="center"/>
    </xf>
    <xf numFmtId="1" fontId="15" fillId="11" borderId="0" xfId="0" applyNumberFormat="1" applyFont="1" applyFill="1" applyBorder="1" applyAlignment="1">
      <alignment horizontal="center" vertical="center"/>
    </xf>
    <xf numFmtId="169" fontId="15" fillId="11" borderId="0" xfId="0" applyNumberFormat="1" applyFont="1" applyFill="1" applyBorder="1" applyAlignment="1">
      <alignment horizontal="right" vertical="center"/>
    </xf>
    <xf numFmtId="170" fontId="15" fillId="11" borderId="0" xfId="0" applyNumberFormat="1" applyFont="1" applyFill="1" applyBorder="1" applyAlignment="1">
      <alignment horizontal="center" vertical="center"/>
    </xf>
    <xf numFmtId="3" fontId="15" fillId="11" borderId="0" xfId="0" applyNumberFormat="1" applyFont="1" applyFill="1" applyBorder="1" applyAlignment="1">
      <alignment horizontal="right" vertical="center"/>
    </xf>
    <xf numFmtId="4" fontId="9" fillId="2" borderId="0" xfId="0" applyFont="1" applyFill="1" applyAlignment="1">
      <alignment horizontal="center" vertical="center"/>
    </xf>
    <xf numFmtId="4" fontId="9" fillId="2" borderId="0" xfId="0" applyFont="1" applyFill="1">
      <alignment horizontal="center" vertical="center"/>
    </xf>
    <xf numFmtId="4" fontId="15" fillId="5" borderId="11" xfId="0" applyFont="1" applyFill="1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15" fillId="3" borderId="11" xfId="0" applyFont="1" applyFill="1" applyBorder="1" applyAlignment="1">
      <alignment horizontal="left"/>
    </xf>
    <xf numFmtId="170" fontId="15" fillId="5" borderId="11" xfId="0" applyNumberFormat="1" applyFont="1" applyFill="1" applyBorder="1" applyAlignment="1">
      <alignment horizontal="right" vertical="center"/>
    </xf>
    <xf numFmtId="4" fontId="15" fillId="5" borderId="11" xfId="0" applyFont="1" applyFill="1" applyBorder="1">
      <alignment horizontal="center" vertical="center"/>
    </xf>
    <xf numFmtId="169" fontId="15" fillId="6" borderId="39" xfId="0" applyNumberFormat="1" applyFont="1" applyFill="1" applyBorder="1" applyAlignment="1">
      <alignment horizontal="right"/>
    </xf>
    <xf numFmtId="4" fontId="15" fillId="10" borderId="44" xfId="0" applyFont="1" applyFill="1" applyBorder="1" applyAlignment="1">
      <alignment horizontal="right" vertical="center"/>
    </xf>
    <xf numFmtId="4" fontId="15" fillId="5" borderId="44" xfId="0" applyFont="1" applyFill="1" applyBorder="1" applyAlignment="1">
      <alignment horizontal="right" vertical="center"/>
    </xf>
    <xf numFmtId="4" fontId="15" fillId="10" borderId="11" xfId="0" applyFont="1" applyFill="1" applyBorder="1">
      <alignment horizontal="center" vertical="center"/>
    </xf>
    <xf numFmtId="4" fontId="15" fillId="10" borderId="11" xfId="0" applyFont="1" applyFill="1" applyBorder="1" applyAlignment="1">
      <alignment horizontal="center" vertical="center"/>
    </xf>
    <xf numFmtId="4" fontId="15" fillId="10" borderId="11" xfId="0" applyFont="1" applyFill="1" applyBorder="1" applyAlignment="1">
      <alignment horizontal="right" vertical="center"/>
    </xf>
    <xf numFmtId="4" fontId="15" fillId="10" borderId="41" xfId="0" applyFont="1" applyFill="1" applyBorder="1" applyAlignment="1">
      <alignment horizontal="right" vertical="center"/>
    </xf>
    <xf numFmtId="3" fontId="15" fillId="10" borderId="42" xfId="0" applyNumberFormat="1" applyFont="1" applyFill="1" applyBorder="1" applyAlignment="1">
      <alignment horizontal="center" vertical="center"/>
    </xf>
    <xf numFmtId="3" fontId="15" fillId="10" borderId="45" xfId="0" applyNumberFormat="1" applyFont="1" applyFill="1" applyBorder="1" applyAlignment="1">
      <alignment horizontal="center" vertical="center"/>
    </xf>
    <xf numFmtId="3" fontId="15" fillId="10" borderId="42" xfId="0" applyNumberFormat="1" applyFont="1" applyFill="1" applyBorder="1">
      <alignment horizontal="center" vertical="center"/>
    </xf>
    <xf numFmtId="4" fontId="15" fillId="5" borderId="41" xfId="0" applyFont="1" applyFill="1" applyBorder="1" applyAlignment="1">
      <alignment horizontal="right" vertical="center"/>
    </xf>
    <xf numFmtId="3" fontId="15" fillId="5" borderId="42" xfId="0" applyNumberFormat="1" applyFont="1" applyFill="1" applyBorder="1" applyAlignment="1">
      <alignment horizontal="center" vertical="center"/>
    </xf>
    <xf numFmtId="3" fontId="15" fillId="5" borderId="45" xfId="0" applyNumberFormat="1" applyFont="1" applyFill="1" applyBorder="1" applyAlignment="1">
      <alignment horizontal="center" vertical="center"/>
    </xf>
    <xf numFmtId="3" fontId="15" fillId="5" borderId="42" xfId="0" applyNumberFormat="1" applyFont="1" applyFill="1" applyBorder="1">
      <alignment horizontal="center" vertical="center"/>
    </xf>
    <xf numFmtId="4" fontId="15" fillId="10" borderId="43" xfId="0" applyFont="1" applyFill="1" applyBorder="1" applyAlignment="1">
      <alignment horizontal="right" vertical="center"/>
    </xf>
    <xf numFmtId="4" fontId="15" fillId="10" borderId="46" xfId="0" applyFont="1" applyFill="1" applyBorder="1" applyAlignment="1">
      <alignment horizontal="right" vertical="center"/>
    </xf>
    <xf numFmtId="4" fontId="15" fillId="5" borderId="43" xfId="0" applyFont="1" applyFill="1" applyBorder="1" applyAlignment="1">
      <alignment horizontal="right" vertical="center"/>
    </xf>
    <xf numFmtId="4" fontId="15" fillId="5" borderId="46" xfId="0" applyFont="1" applyFill="1" applyBorder="1" applyAlignment="1">
      <alignment horizontal="right" vertical="center"/>
    </xf>
    <xf numFmtId="4" fontId="15" fillId="5" borderId="47" xfId="0" applyFont="1" applyFill="1" applyBorder="1" applyAlignment="1">
      <alignment horizontal="right" vertical="center"/>
    </xf>
    <xf numFmtId="169" fontId="15" fillId="5" borderId="29" xfId="0" applyNumberFormat="1" applyFont="1" applyFill="1" applyBorder="1" applyAlignment="1">
      <alignment horizontal="center" vertical="center"/>
    </xf>
    <xf numFmtId="4" fontId="15" fillId="10" borderId="47" xfId="0" applyFont="1" applyFill="1" applyBorder="1" applyAlignment="1">
      <alignment horizontal="right" vertical="center"/>
    </xf>
    <xf numFmtId="169" fontId="15" fillId="10" borderId="29" xfId="0" applyNumberFormat="1" applyFont="1" applyFill="1" applyBorder="1" applyAlignment="1">
      <alignment horizontal="center" vertical="center"/>
    </xf>
    <xf numFmtId="4" fontId="15" fillId="10" borderId="17" xfId="0" applyFont="1" applyFill="1" applyBorder="1" applyAlignment="1">
      <alignment horizontal="right" vertical="center"/>
    </xf>
    <xf numFmtId="4" fontId="15" fillId="10" borderId="12" xfId="0" applyFont="1" applyFill="1" applyBorder="1" applyAlignment="1">
      <alignment horizontal="center" vertical="center"/>
    </xf>
    <xf numFmtId="4" fontId="15" fillId="10" borderId="12" xfId="0" applyFont="1" applyFill="1" applyBorder="1">
      <alignment horizontal="center" vertical="center"/>
    </xf>
    <xf numFmtId="169" fontId="15" fillId="6" borderId="12" xfId="0" quotePrefix="1" applyNumberFormat="1" applyFont="1" applyFill="1" applyBorder="1" applyAlignment="1">
      <alignment horizontal="left" vertical="center"/>
    </xf>
    <xf numFmtId="170" fontId="25" fillId="12" borderId="1" xfId="0" applyNumberFormat="1" applyFont="1" applyFill="1" applyBorder="1" applyAlignment="1">
      <alignment horizontal="right" vertical="center"/>
    </xf>
    <xf numFmtId="4" fontId="25" fillId="12" borderId="0" xfId="0" applyNumberFormat="1" applyFont="1" applyFill="1" applyBorder="1" applyAlignment="1">
      <alignment horizontal="right" vertical="center"/>
    </xf>
    <xf numFmtId="170" fontId="15" fillId="10" borderId="11" xfId="0" applyNumberFormat="1" applyFont="1" applyFill="1" applyBorder="1" applyAlignment="1">
      <alignment horizontal="right" vertical="center"/>
    </xf>
    <xf numFmtId="170" fontId="25" fillId="12" borderId="49" xfId="0" applyNumberFormat="1" applyFont="1" applyFill="1" applyBorder="1" applyAlignment="1">
      <alignment horizontal="right" vertical="center"/>
    </xf>
    <xf numFmtId="4" fontId="15" fillId="10" borderId="52" xfId="0" applyFont="1" applyFill="1" applyBorder="1" applyAlignment="1">
      <alignment horizontal="center" vertical="center"/>
    </xf>
    <xf numFmtId="4" fontId="15" fillId="10" borderId="52" xfId="0" applyFont="1" applyFill="1" applyBorder="1">
      <alignment horizontal="center" vertical="center"/>
    </xf>
    <xf numFmtId="4" fontId="15" fillId="10" borderId="51" xfId="0" applyFont="1" applyFill="1" applyBorder="1">
      <alignment horizontal="center" vertical="center"/>
    </xf>
    <xf numFmtId="4" fontId="15" fillId="10" borderId="42" xfId="0" applyFont="1" applyFill="1" applyBorder="1" applyAlignment="1">
      <alignment horizontal="center" vertical="center"/>
    </xf>
    <xf numFmtId="4" fontId="25" fillId="12" borderId="53" xfId="0" applyFont="1" applyFill="1" applyBorder="1" applyAlignment="1">
      <alignment horizontal="right" vertical="center"/>
    </xf>
    <xf numFmtId="4" fontId="25" fillId="12" borderId="42" xfId="0" applyNumberFormat="1" applyFont="1" applyFill="1" applyBorder="1" applyAlignment="1">
      <alignment horizontal="right" vertical="center"/>
    </xf>
    <xf numFmtId="4" fontId="15" fillId="10" borderId="42" xfId="0" applyNumberFormat="1" applyFont="1" applyFill="1" applyBorder="1" applyAlignment="1">
      <alignment horizontal="right" vertical="center"/>
    </xf>
    <xf numFmtId="4" fontId="15" fillId="10" borderId="29" xfId="0" applyFont="1" applyFill="1" applyBorder="1">
      <alignment horizontal="center" vertical="center"/>
    </xf>
    <xf numFmtId="4" fontId="15" fillId="5" borderId="43" xfId="0" applyFont="1" applyFill="1" applyBorder="1" applyAlignment="1">
      <alignment horizontal="center" vertical="center"/>
    </xf>
    <xf numFmtId="4" fontId="15" fillId="5" borderId="42" xfId="0" applyFont="1" applyFill="1" applyBorder="1">
      <alignment horizontal="center" vertical="center"/>
    </xf>
    <xf numFmtId="4" fontId="15" fillId="5" borderId="42" xfId="0" applyFont="1" applyFill="1" applyBorder="1" applyAlignment="1">
      <alignment horizontal="center" vertical="center"/>
    </xf>
    <xf numFmtId="4" fontId="25" fillId="12" borderId="54" xfId="0" applyFont="1" applyFill="1" applyBorder="1" applyAlignment="1">
      <alignment horizontal="right" vertical="center"/>
    </xf>
    <xf numFmtId="4" fontId="15" fillId="5" borderId="42" xfId="0" applyNumberFormat="1" applyFont="1" applyFill="1" applyBorder="1" applyAlignment="1">
      <alignment horizontal="right" vertical="center"/>
    </xf>
    <xf numFmtId="4" fontId="15" fillId="5" borderId="12" xfId="0" applyFont="1" applyFill="1" applyBorder="1">
      <alignment horizontal="center" vertical="center"/>
    </xf>
    <xf numFmtId="4" fontId="15" fillId="5" borderId="29" xfId="0" applyFont="1" applyFill="1" applyBorder="1">
      <alignment horizontal="center" vertical="center"/>
    </xf>
    <xf numFmtId="4" fontId="15" fillId="10" borderId="51" xfId="0" applyFont="1" applyFill="1" applyBorder="1" applyAlignment="1">
      <alignment horizontal="center" vertical="center"/>
    </xf>
    <xf numFmtId="3" fontId="15" fillId="10" borderId="42" xfId="0" applyNumberFormat="1" applyFont="1" applyFill="1" applyBorder="1" applyAlignment="1">
      <alignment horizontal="left" vertical="center"/>
    </xf>
    <xf numFmtId="4" fontId="15" fillId="10" borderId="29" xfId="0" applyNumberFormat="1" applyFont="1" applyFill="1" applyBorder="1" applyAlignment="1">
      <alignment horizontal="left" vertical="center"/>
    </xf>
    <xf numFmtId="3" fontId="15" fillId="5" borderId="42" xfId="0" applyNumberFormat="1" applyFont="1" applyFill="1" applyBorder="1" applyAlignment="1">
      <alignment horizontal="left" vertical="center"/>
    </xf>
    <xf numFmtId="4" fontId="15" fillId="5" borderId="29" xfId="0" applyNumberFormat="1" applyFont="1" applyFill="1" applyBorder="1" applyAlignment="1">
      <alignment horizontal="left" vertical="center"/>
    </xf>
    <xf numFmtId="4" fontId="15" fillId="10" borderId="50" xfId="0" quotePrefix="1" applyFont="1" applyFill="1" applyBorder="1" applyAlignment="1">
      <alignment horizontal="left" vertical="center"/>
    </xf>
    <xf numFmtId="4" fontId="15" fillId="10" borderId="43" xfId="0" quotePrefix="1" applyFont="1" applyFill="1" applyBorder="1" applyAlignment="1">
      <alignment horizontal="left" vertical="center"/>
    </xf>
    <xf numFmtId="4" fontId="15" fillId="10" borderId="43" xfId="0" applyFont="1" applyFill="1" applyBorder="1" applyAlignment="1">
      <alignment horizontal="left" vertical="center"/>
    </xf>
    <xf numFmtId="4" fontId="15" fillId="5" borderId="43" xfId="0" applyFont="1" applyFill="1" applyBorder="1" applyAlignment="1">
      <alignment horizontal="left" vertical="center"/>
    </xf>
    <xf numFmtId="169" fontId="15" fillId="5" borderId="43" xfId="0" quotePrefix="1" applyNumberFormat="1" applyFont="1" applyFill="1" applyBorder="1" applyAlignment="1">
      <alignment horizontal="left" vertical="center"/>
    </xf>
    <xf numFmtId="4" fontId="15" fillId="6" borderId="0" xfId="0" applyFont="1" applyFill="1" applyBorder="1" applyAlignment="1">
      <alignment horizontal="center" vertical="center"/>
    </xf>
    <xf numFmtId="4" fontId="29" fillId="0" borderId="0" xfId="0" applyFont="1" applyFill="1" applyBorder="1" applyAlignment="1">
      <alignment horizontal="left" vertical="center"/>
    </xf>
    <xf numFmtId="4" fontId="22" fillId="0" borderId="0" xfId="0" applyFont="1" applyFill="1" applyBorder="1" applyAlignment="1">
      <alignment horizontal="center" vertical="center"/>
    </xf>
    <xf numFmtId="4" fontId="22" fillId="0" borderId="0" xfId="0" applyFont="1" applyFill="1" applyBorder="1" applyAlignment="1">
      <alignment horizontal="right" vertical="center"/>
    </xf>
    <xf numFmtId="168" fontId="22" fillId="0" borderId="0" xfId="0" applyNumberFormat="1" applyFont="1" applyFill="1" applyBorder="1" applyAlignment="1">
      <alignment horizontal="center" vertical="center"/>
    </xf>
    <xf numFmtId="4" fontId="22" fillId="0" borderId="0" xfId="0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4" fontId="22" fillId="0" borderId="0" xfId="0" applyFont="1" applyFill="1" applyBorder="1" applyAlignment="1">
      <alignment vertical="center"/>
    </xf>
    <xf numFmtId="4" fontId="26" fillId="0" borderId="0" xfId="0" applyFont="1" applyFill="1" applyBorder="1" applyAlignment="1">
      <alignment horizontal="right" vertical="center"/>
    </xf>
    <xf numFmtId="2" fontId="22" fillId="0" borderId="0" xfId="0" applyNumberFormat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left" vertical="center"/>
    </xf>
    <xf numFmtId="4" fontId="22" fillId="0" borderId="0" xfId="0" applyFont="1" applyFill="1" applyBorder="1" applyAlignment="1">
      <alignment horizontal="center" vertical="center"/>
    </xf>
    <xf numFmtId="4" fontId="27" fillId="0" borderId="0" xfId="0" applyFont="1" applyFill="1" applyBorder="1" applyAlignment="1">
      <alignment horizontal="left" vertical="center"/>
    </xf>
    <xf numFmtId="4" fontId="26" fillId="0" borderId="0" xfId="0" applyFont="1" applyFill="1" applyBorder="1" applyAlignment="1">
      <alignment horizontal="center" vertical="center"/>
    </xf>
    <xf numFmtId="4" fontId="22" fillId="0" borderId="0" xfId="0" applyFont="1" applyBorder="1" applyAlignment="1">
      <alignment horizontal="center" vertical="center"/>
    </xf>
    <xf numFmtId="4" fontId="22" fillId="0" borderId="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horizontal="center" vertical="center"/>
    </xf>
    <xf numFmtId="170" fontId="22" fillId="0" borderId="0" xfId="0" applyNumberFormat="1" applyFont="1" applyFill="1" applyBorder="1" applyAlignment="1">
      <alignment horizontal="center" vertical="center"/>
    </xf>
    <xf numFmtId="4" fontId="22" fillId="0" borderId="0" xfId="0" applyFont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4" fontId="22" fillId="0" borderId="0" xfId="0" quotePrefix="1" applyFont="1" applyFill="1" applyBorder="1" applyAlignment="1">
      <alignment horizontal="left" vertical="center"/>
    </xf>
    <xf numFmtId="171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69" fontId="22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9" fillId="0" borderId="0" xfId="0" applyFont="1" applyFill="1" applyBorder="1" applyAlignment="1">
      <alignment horizontal="center" vertical="center" wrapText="1"/>
    </xf>
    <xf numFmtId="170" fontId="22" fillId="0" borderId="0" xfId="0" quotePrefix="1" applyNumberFormat="1" applyFont="1" applyFill="1" applyBorder="1" applyAlignment="1">
      <alignment horizontal="left" vertical="center"/>
    </xf>
    <xf numFmtId="4" fontId="22" fillId="0" borderId="0" xfId="0" applyFont="1" applyFill="1" applyBorder="1" applyAlignment="1">
      <alignment vertical="center"/>
    </xf>
    <xf numFmtId="2" fontId="22" fillId="0" borderId="5" xfId="0" applyNumberFormat="1" applyFont="1" applyFill="1" applyBorder="1" applyAlignment="1">
      <alignment horizontal="center" vertical="center"/>
    </xf>
    <xf numFmtId="4" fontId="22" fillId="0" borderId="0" xfId="0" applyFont="1" applyBorder="1" applyAlignment="1">
      <alignment horizontal="center" vertical="top"/>
    </xf>
    <xf numFmtId="4" fontId="31" fillId="0" borderId="0" xfId="0" applyFont="1" applyBorder="1" applyAlignment="1">
      <alignment horizontal="left" vertical="top"/>
    </xf>
    <xf numFmtId="4" fontId="22" fillId="0" borderId="55" xfId="0" quotePrefix="1" applyFont="1" applyFill="1" applyBorder="1" applyAlignment="1">
      <alignment horizontal="left" vertical="center"/>
    </xf>
    <xf numFmtId="4" fontId="22" fillId="0" borderId="56" xfId="0" applyFont="1" applyFill="1" applyBorder="1" applyAlignment="1">
      <alignment vertical="center" wrapText="1"/>
    </xf>
    <xf numFmtId="4" fontId="22" fillId="0" borderId="57" xfId="0" applyFont="1" applyFill="1" applyBorder="1" applyAlignment="1">
      <alignment horizontal="right" vertical="center"/>
    </xf>
    <xf numFmtId="4" fontId="26" fillId="0" borderId="1" xfId="0" applyFont="1" applyFill="1" applyBorder="1" applyAlignment="1">
      <alignment horizontal="right" vertical="center"/>
    </xf>
    <xf numFmtId="4" fontId="22" fillId="0" borderId="1" xfId="0" applyFont="1" applyFill="1" applyBorder="1" applyAlignment="1">
      <alignment horizontal="center" vertical="center"/>
    </xf>
    <xf numFmtId="4" fontId="22" fillId="0" borderId="1" xfId="0" applyFont="1" applyFill="1" applyBorder="1" applyAlignment="1">
      <alignment horizontal="left" vertical="center"/>
    </xf>
    <xf numFmtId="4" fontId="22" fillId="0" borderId="1" xfId="0" applyFont="1" applyFill="1" applyBorder="1" applyAlignment="1">
      <alignment vertical="center" wrapText="1"/>
    </xf>
    <xf numFmtId="4" fontId="16" fillId="6" borderId="0" xfId="0" applyFont="1" applyFill="1" applyBorder="1" applyAlignment="1">
      <alignment horizontal="center" vertical="center"/>
    </xf>
    <xf numFmtId="2" fontId="15" fillId="6" borderId="0" xfId="0" applyNumberFormat="1" applyFont="1" applyFill="1" applyBorder="1" applyAlignment="1">
      <alignment horizontal="center" vertical="center"/>
    </xf>
    <xf numFmtId="4" fontId="15" fillId="6" borderId="0" xfId="0" applyFont="1" applyFill="1" applyBorder="1" applyAlignment="1">
      <alignment horizontal="left" vertical="center"/>
    </xf>
    <xf numFmtId="9" fontId="15" fillId="6" borderId="0" xfId="1" applyFont="1" applyFill="1" applyBorder="1" applyAlignment="1">
      <alignment horizontal="center" vertical="center"/>
    </xf>
    <xf numFmtId="4" fontId="22" fillId="0" borderId="59" xfId="0" applyFont="1" applyBorder="1" applyAlignment="1">
      <alignment horizontal="center" vertical="center" wrapText="1"/>
    </xf>
    <xf numFmtId="2" fontId="22" fillId="0" borderId="58" xfId="0" applyNumberFormat="1" applyFont="1" applyFill="1" applyBorder="1" applyAlignment="1">
      <alignment horizontal="center" vertical="center"/>
    </xf>
    <xf numFmtId="4" fontId="15" fillId="5" borderId="0" xfId="0" applyFont="1" applyFill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5" fontId="15" fillId="6" borderId="11" xfId="2" applyNumberFormat="1" applyFont="1" applyFill="1" applyBorder="1" applyAlignment="1">
      <alignment horizontal="center" vertical="center" wrapText="1"/>
    </xf>
    <xf numFmtId="169" fontId="15" fillId="4" borderId="0" xfId="0" applyNumberFormat="1" applyFont="1" applyFill="1" applyAlignment="1">
      <alignment horizontal="center" vertical="center"/>
    </xf>
    <xf numFmtId="4" fontId="16" fillId="4" borderId="11" xfId="0" applyFont="1" applyFill="1" applyBorder="1" applyAlignment="1">
      <alignment horizontal="center" vertical="center"/>
    </xf>
    <xf numFmtId="4" fontId="15" fillId="5" borderId="0" xfId="0" applyFont="1" applyFill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15" fillId="4" borderId="0" xfId="0" applyFont="1" applyFill="1" applyAlignment="1">
      <alignment horizontal="left" vertical="center" wrapText="1"/>
    </xf>
    <xf numFmtId="4" fontId="15" fillId="4" borderId="12" xfId="0" applyFont="1" applyFill="1" applyBorder="1" applyAlignment="1">
      <alignment horizontal="center" vertical="center"/>
    </xf>
    <xf numFmtId="4" fontId="15" fillId="4" borderId="0" xfId="0" applyFont="1" applyFill="1" applyAlignment="1">
      <alignment horizontal="right" vertical="center" wrapText="1"/>
    </xf>
    <xf numFmtId="4" fontId="16" fillId="4" borderId="0" xfId="0" applyFont="1" applyFill="1" applyBorder="1" applyAlignment="1">
      <alignment horizontal="right" vertical="center"/>
    </xf>
    <xf numFmtId="4" fontId="32" fillId="0" borderId="0" xfId="0" applyFont="1" applyFill="1" applyBorder="1" applyAlignment="1">
      <alignment horizontal="left"/>
    </xf>
    <xf numFmtId="4" fontId="32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left"/>
    </xf>
    <xf numFmtId="4" fontId="32" fillId="0" borderId="0" xfId="0" applyNumberFormat="1" applyFont="1" applyFill="1" applyBorder="1" applyAlignment="1">
      <alignment horizontal="left"/>
    </xf>
    <xf numFmtId="4" fontId="32" fillId="0" borderId="0" xfId="0" applyFont="1" applyFill="1" applyBorder="1" applyAlignment="1">
      <alignment horizontal="right"/>
    </xf>
    <xf numFmtId="4" fontId="33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3" fontId="32" fillId="0" borderId="0" xfId="1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169" fontId="32" fillId="0" borderId="0" xfId="0" applyNumberFormat="1" applyFont="1" applyFill="1" applyBorder="1" applyAlignment="1">
      <alignment horizontal="center"/>
    </xf>
    <xf numFmtId="170" fontId="32" fillId="0" borderId="0" xfId="0" applyNumberFormat="1" applyFont="1" applyFill="1" applyBorder="1" applyAlignment="1">
      <alignment horizontal="left"/>
    </xf>
    <xf numFmtId="169" fontId="32" fillId="0" borderId="0" xfId="0" applyNumberFormat="1" applyFont="1" applyFill="1" applyBorder="1" applyAlignment="1">
      <alignment horizontal="right"/>
    </xf>
    <xf numFmtId="170" fontId="32" fillId="0" borderId="0" xfId="0" applyNumberFormat="1" applyFont="1" applyFill="1" applyBorder="1" applyAlignment="1">
      <alignment horizontal="center"/>
    </xf>
    <xf numFmtId="169" fontId="32" fillId="0" borderId="0" xfId="0" quotePrefix="1" applyNumberFormat="1" applyFont="1" applyFill="1" applyBorder="1" applyAlignment="1">
      <alignment horizontal="left"/>
    </xf>
    <xf numFmtId="3" fontId="32" fillId="0" borderId="0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center"/>
    </xf>
    <xf numFmtId="4" fontId="32" fillId="0" borderId="1" xfId="0" applyFont="1" applyFill="1" applyBorder="1" applyAlignment="1">
      <alignment horizontal="center"/>
    </xf>
    <xf numFmtId="4" fontId="35" fillId="0" borderId="0" xfId="0" applyFont="1" applyFill="1" applyBorder="1" applyAlignment="1">
      <alignment horizontal="right"/>
    </xf>
    <xf numFmtId="4" fontId="35" fillId="0" borderId="0" xfId="0" applyFont="1" applyFill="1" applyBorder="1" applyAlignment="1">
      <alignment horizontal="left"/>
    </xf>
    <xf numFmtId="4" fontId="38" fillId="0" borderId="0" xfId="0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horizontal="right"/>
    </xf>
    <xf numFmtId="4" fontId="35" fillId="0" borderId="0" xfId="0" applyFont="1" applyFill="1" applyBorder="1" applyAlignment="1">
      <alignment horizontal="center"/>
    </xf>
    <xf numFmtId="4" fontId="36" fillId="0" borderId="0" xfId="0" applyFont="1" applyFill="1" applyBorder="1" applyAlignment="1">
      <alignment horizontal="right"/>
    </xf>
    <xf numFmtId="9" fontId="35" fillId="0" borderId="0" xfId="1" applyFont="1" applyFill="1" applyBorder="1" applyAlignment="1">
      <alignment horizontal="left"/>
    </xf>
    <xf numFmtId="4" fontId="35" fillId="0" borderId="0" xfId="0" quotePrefix="1" applyFont="1" applyFill="1" applyBorder="1" applyAlignment="1">
      <alignment horizontal="center"/>
    </xf>
    <xf numFmtId="4" fontId="35" fillId="0" borderId="57" xfId="0" applyFont="1" applyFill="1" applyBorder="1" applyAlignment="1">
      <alignment horizontal="right"/>
    </xf>
    <xf numFmtId="4" fontId="35" fillId="0" borderId="58" xfId="0" applyFont="1" applyFill="1" applyBorder="1" applyAlignment="1">
      <alignment horizontal="left"/>
    </xf>
    <xf numFmtId="4" fontId="44" fillId="13" borderId="0" xfId="0" applyFont="1" applyFill="1" applyBorder="1" applyAlignment="1">
      <alignment horizontal="right"/>
    </xf>
    <xf numFmtId="3" fontId="44" fillId="13" borderId="0" xfId="0" applyNumberFormat="1" applyFont="1" applyFill="1" applyBorder="1" applyAlignment="1">
      <alignment horizontal="left"/>
    </xf>
    <xf numFmtId="4" fontId="0" fillId="0" borderId="0" xfId="0" applyFill="1" applyAlignment="1">
      <alignment horizontal="center" vertical="center"/>
    </xf>
    <xf numFmtId="4" fontId="0" fillId="0" borderId="0" xfId="0" applyFill="1" applyBorder="1" applyAlignment="1">
      <alignment horizontal="center" vertical="center"/>
    </xf>
    <xf numFmtId="4" fontId="15" fillId="0" borderId="0" xfId="0" applyFont="1" applyFill="1" applyBorder="1" applyAlignment="1">
      <alignment horizontal="right" vertical="center"/>
    </xf>
    <xf numFmtId="169" fontId="15" fillId="0" borderId="0" xfId="0" applyNumberFormat="1" applyFont="1" applyFill="1" applyBorder="1" applyAlignment="1">
      <alignment horizontal="center" vertical="center"/>
    </xf>
    <xf numFmtId="170" fontId="15" fillId="0" borderId="0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170" fontId="13" fillId="0" borderId="0" xfId="0" applyNumberFormat="1" applyFont="1" applyFill="1" applyBorder="1" applyAlignment="1">
      <alignment horizontal="center" vertical="center"/>
    </xf>
    <xf numFmtId="4" fontId="48" fillId="0" borderId="0" xfId="0" applyFont="1" applyFill="1" applyBorder="1" applyAlignment="1">
      <alignment horizontal="center" vertical="center"/>
    </xf>
    <xf numFmtId="4" fontId="48" fillId="0" borderId="0" xfId="0" applyFont="1" applyAlignment="1">
      <alignment horizontal="center" vertical="center"/>
    </xf>
    <xf numFmtId="4" fontId="48" fillId="0" borderId="0" xfId="0" applyFont="1" applyFill="1" applyAlignment="1">
      <alignment horizontal="center" vertical="center"/>
    </xf>
    <xf numFmtId="4" fontId="48" fillId="0" borderId="0" xfId="0" applyFont="1" applyBorder="1" applyAlignment="1">
      <alignment horizontal="center" vertical="center"/>
    </xf>
    <xf numFmtId="170" fontId="48" fillId="0" borderId="0" xfId="0" applyNumberFormat="1" applyFont="1" applyFill="1" applyBorder="1" applyAlignment="1">
      <alignment horizontal="center" vertical="center"/>
    </xf>
    <xf numFmtId="4" fontId="50" fillId="0" borderId="0" xfId="0" applyFont="1" applyFill="1" applyBorder="1" applyAlignment="1">
      <alignment horizontal="left" vertical="center"/>
    </xf>
    <xf numFmtId="4" fontId="50" fillId="0" borderId="0" xfId="0" applyFont="1" applyFill="1" applyAlignment="1">
      <alignment horizontal="center" vertical="center"/>
    </xf>
    <xf numFmtId="4" fontId="49" fillId="0" borderId="0" xfId="0" applyFont="1" applyFill="1" applyBorder="1" applyAlignment="1">
      <alignment horizontal="left" vertical="center"/>
    </xf>
    <xf numFmtId="4" fontId="50" fillId="0" borderId="0" xfId="0" applyFont="1" applyAlignment="1">
      <alignment horizontal="center" vertical="center"/>
    </xf>
    <xf numFmtId="4" fontId="53" fillId="14" borderId="60" xfId="0" applyFont="1" applyFill="1" applyBorder="1" applyAlignment="1">
      <alignment horizontal="center" vertical="center"/>
    </xf>
    <xf numFmtId="4" fontId="53" fillId="14" borderId="0" xfId="0" applyNumberFormat="1" applyFont="1" applyFill="1" applyBorder="1" applyAlignment="1">
      <alignment horizontal="left" vertical="center"/>
    </xf>
    <xf numFmtId="4" fontId="53" fillId="14" borderId="0" xfId="0" applyNumberFormat="1" applyFont="1" applyFill="1" applyBorder="1" applyAlignment="1">
      <alignment horizontal="center" vertical="center"/>
    </xf>
    <xf numFmtId="4" fontId="53" fillId="14" borderId="61" xfId="0" applyFont="1" applyFill="1" applyBorder="1" applyAlignment="1">
      <alignment horizontal="center" vertical="center"/>
    </xf>
    <xf numFmtId="4" fontId="53" fillId="14" borderId="0" xfId="0" applyFont="1" applyFill="1" applyBorder="1" applyAlignment="1">
      <alignment horizontal="center" vertical="center"/>
    </xf>
    <xf numFmtId="4" fontId="53" fillId="14" borderId="62" xfId="0" applyFont="1" applyFill="1" applyBorder="1" applyAlignment="1">
      <alignment horizontal="center" vertical="center"/>
    </xf>
    <xf numFmtId="4" fontId="53" fillId="14" borderId="63" xfId="0" applyFont="1" applyFill="1" applyBorder="1" applyAlignment="1">
      <alignment horizontal="center" vertical="center"/>
    </xf>
    <xf numFmtId="4" fontId="53" fillId="14" borderId="63" xfId="0" applyNumberFormat="1" applyFont="1" applyFill="1" applyBorder="1" applyAlignment="1">
      <alignment horizontal="left" vertical="center"/>
    </xf>
    <xf numFmtId="4" fontId="53" fillId="14" borderId="64" xfId="0" applyFont="1" applyFill="1" applyBorder="1" applyAlignment="1">
      <alignment horizontal="center" vertical="center"/>
    </xf>
    <xf numFmtId="4" fontId="53" fillId="14" borderId="60" xfId="0" applyFont="1" applyFill="1" applyBorder="1" applyAlignment="1">
      <alignment horizontal="left" vertical="center"/>
    </xf>
    <xf numFmtId="4" fontId="53" fillId="14" borderId="0" xfId="0" applyFont="1" applyFill="1" applyBorder="1" applyAlignment="1">
      <alignment horizontal="right" vertical="center"/>
    </xf>
    <xf numFmtId="170" fontId="53" fillId="14" borderId="0" xfId="0" applyNumberFormat="1" applyFont="1" applyFill="1" applyBorder="1" applyAlignment="1">
      <alignment horizontal="left" vertical="center"/>
    </xf>
    <xf numFmtId="170" fontId="53" fillId="14" borderId="61" xfId="0" applyNumberFormat="1" applyFont="1" applyFill="1" applyBorder="1" applyAlignment="1">
      <alignment horizontal="center" vertical="center"/>
    </xf>
    <xf numFmtId="4" fontId="53" fillId="14" borderId="61" xfId="0" applyFont="1" applyFill="1" applyBorder="1" applyAlignment="1">
      <alignment horizontal="right" vertical="center"/>
    </xf>
    <xf numFmtId="4" fontId="53" fillId="14" borderId="60" xfId="0" applyFont="1" applyFill="1" applyBorder="1" applyAlignment="1">
      <alignment horizontal="right" vertical="center"/>
    </xf>
    <xf numFmtId="4" fontId="53" fillId="14" borderId="64" xfId="0" applyFont="1" applyFill="1" applyBorder="1" applyAlignment="1">
      <alignment horizontal="right" vertical="center"/>
    </xf>
    <xf numFmtId="4" fontId="54" fillId="15" borderId="0" xfId="0" applyFont="1" applyFill="1" applyAlignment="1">
      <alignment horizontal="right" vertical="center"/>
    </xf>
    <xf numFmtId="4" fontId="53" fillId="15" borderId="0" xfId="0" applyFont="1" applyFill="1" applyAlignment="1">
      <alignment horizontal="left" vertical="center"/>
    </xf>
    <xf numFmtId="4" fontId="53" fillId="15" borderId="0" xfId="0" applyFont="1" applyFill="1" applyAlignment="1">
      <alignment horizontal="center" vertical="center"/>
    </xf>
    <xf numFmtId="4" fontId="55" fillId="14" borderId="60" xfId="0" applyFont="1" applyFill="1" applyBorder="1" applyAlignment="1">
      <alignment horizontal="left" vertical="center"/>
    </xf>
    <xf numFmtId="166" fontId="0" fillId="7" borderId="0" xfId="2" applyFont="1" applyFill="1" applyBorder="1" applyAlignment="1">
      <alignment horizontal="right" vertical="center"/>
    </xf>
    <xf numFmtId="4" fontId="45" fillId="16" borderId="11" xfId="0" applyFont="1" applyFill="1" applyBorder="1" applyAlignment="1">
      <alignment horizontal="center"/>
    </xf>
    <xf numFmtId="169" fontId="45" fillId="16" borderId="0" xfId="0" applyNumberFormat="1" applyFont="1" applyFill="1" applyBorder="1" applyAlignment="1">
      <alignment horizontal="center"/>
    </xf>
    <xf numFmtId="4" fontId="44" fillId="17" borderId="0" xfId="0" applyFont="1" applyFill="1" applyBorder="1" applyAlignment="1">
      <alignment horizontal="center"/>
    </xf>
    <xf numFmtId="4" fontId="42" fillId="17" borderId="11" xfId="0" applyFont="1" applyFill="1" applyBorder="1" applyAlignment="1">
      <alignment horizontal="center"/>
    </xf>
    <xf numFmtId="4" fontId="44" fillId="17" borderId="19" xfId="0" applyFont="1" applyFill="1" applyBorder="1" applyAlignment="1">
      <alignment horizontal="center"/>
    </xf>
    <xf numFmtId="4" fontId="42" fillId="17" borderId="0" xfId="0" applyFont="1" applyFill="1" applyBorder="1" applyAlignment="1">
      <alignment horizontal="right"/>
    </xf>
    <xf numFmtId="4" fontId="44" fillId="17" borderId="0" xfId="0" applyFont="1" applyFill="1" applyBorder="1" applyAlignment="1">
      <alignment horizontal="left"/>
    </xf>
    <xf numFmtId="4" fontId="44" fillId="17" borderId="11" xfId="0" applyFont="1" applyFill="1" applyBorder="1" applyAlignment="1">
      <alignment horizontal="center"/>
    </xf>
    <xf numFmtId="169" fontId="15" fillId="4" borderId="30" xfId="0" applyNumberFormat="1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right"/>
    </xf>
    <xf numFmtId="4" fontId="5" fillId="12" borderId="68" xfId="0" applyFont="1" applyFill="1" applyBorder="1" applyAlignment="1">
      <alignment vertical="center"/>
    </xf>
    <xf numFmtId="4" fontId="6" fillId="12" borderId="69" xfId="0" applyFont="1" applyFill="1" applyBorder="1" applyAlignment="1">
      <alignment vertical="center"/>
    </xf>
    <xf numFmtId="4" fontId="6" fillId="12" borderId="70" xfId="0" applyFont="1" applyFill="1" applyBorder="1" applyAlignment="1">
      <alignment vertical="center"/>
    </xf>
    <xf numFmtId="4" fontId="6" fillId="12" borderId="71" xfId="0" applyFont="1" applyFill="1" applyBorder="1" applyAlignment="1">
      <alignment vertical="center"/>
    </xf>
    <xf numFmtId="4" fontId="6" fillId="0" borderId="0" xfId="0" applyFont="1" applyFill="1" applyBorder="1" applyAlignment="1">
      <alignment vertical="center"/>
    </xf>
    <xf numFmtId="4" fontId="5" fillId="12" borderId="60" xfId="0" applyFont="1" applyFill="1" applyBorder="1" applyAlignment="1">
      <alignment vertical="center"/>
    </xf>
    <xf numFmtId="4" fontId="5" fillId="12" borderId="0" xfId="0" applyFont="1" applyFill="1" applyBorder="1" applyAlignment="1"/>
    <xf numFmtId="4" fontId="6" fillId="12" borderId="0" xfId="0" applyFont="1" applyFill="1" applyBorder="1" applyAlignment="1"/>
    <xf numFmtId="4" fontId="6" fillId="12" borderId="0" xfId="0" applyFont="1" applyFill="1" applyBorder="1" applyAlignment="1">
      <alignment vertical="center"/>
    </xf>
    <xf numFmtId="4" fontId="6" fillId="12" borderId="61" xfId="0" applyFont="1" applyFill="1" applyBorder="1" applyAlignment="1">
      <alignment vertical="center"/>
    </xf>
    <xf numFmtId="4" fontId="6" fillId="12" borderId="72" xfId="0" applyFont="1" applyFill="1" applyBorder="1" applyAlignment="1"/>
    <xf numFmtId="4" fontId="6" fillId="12" borderId="72" xfId="0" applyFont="1" applyFill="1" applyBorder="1" applyAlignment="1">
      <alignment vertical="center"/>
    </xf>
    <xf numFmtId="4" fontId="6" fillId="12" borderId="73" xfId="0" applyFont="1" applyFill="1" applyBorder="1" applyAlignment="1">
      <alignment vertical="center"/>
    </xf>
    <xf numFmtId="4" fontId="5" fillId="12" borderId="62" xfId="0" applyFont="1" applyFill="1" applyBorder="1" applyAlignment="1">
      <alignment vertical="center"/>
    </xf>
    <xf numFmtId="4" fontId="6" fillId="12" borderId="63" xfId="0" applyFont="1" applyFill="1" applyBorder="1" applyAlignment="1"/>
    <xf numFmtId="4" fontId="6" fillId="12" borderId="63" xfId="0" applyFont="1" applyFill="1" applyBorder="1" applyAlignment="1">
      <alignment vertical="center"/>
    </xf>
    <xf numFmtId="4" fontId="6" fillId="12" borderId="64" xfId="0" applyFont="1" applyFill="1" applyBorder="1" applyAlignment="1">
      <alignment vertical="center"/>
    </xf>
    <xf numFmtId="4" fontId="5" fillId="0" borderId="0" xfId="0" applyFont="1" applyFill="1" applyBorder="1" applyAlignment="1">
      <alignment vertical="center"/>
    </xf>
    <xf numFmtId="4" fontId="61" fillId="4" borderId="0" xfId="0" applyFont="1" applyFill="1" applyBorder="1" applyAlignment="1">
      <alignment horizontal="right" vertical="center"/>
    </xf>
    <xf numFmtId="170" fontId="63" fillId="4" borderId="0" xfId="0" applyNumberFormat="1" applyFont="1" applyFill="1" applyBorder="1" applyAlignment="1">
      <alignment horizontal="left" vertical="center"/>
    </xf>
    <xf numFmtId="4" fontId="6" fillId="0" borderId="0" xfId="0" applyFont="1" applyFill="1" applyBorder="1" applyAlignment="1">
      <alignment horizontal="center" vertical="center"/>
    </xf>
    <xf numFmtId="4" fontId="63" fillId="4" borderId="0" xfId="0" applyFont="1" applyFill="1" applyBorder="1" applyAlignment="1">
      <alignment horizontal="right" vertical="center"/>
    </xf>
    <xf numFmtId="169" fontId="61" fillId="4" borderId="0" xfId="0" applyNumberFormat="1" applyFont="1" applyFill="1" applyBorder="1" applyAlignment="1">
      <alignment horizontal="right" vertical="center"/>
    </xf>
    <xf numFmtId="4" fontId="63" fillId="4" borderId="0" xfId="0" applyFont="1" applyFill="1" applyBorder="1" applyAlignment="1">
      <alignment horizontal="left" vertical="center"/>
    </xf>
    <xf numFmtId="4" fontId="63" fillId="8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" fontId="63" fillId="8" borderId="11" xfId="0" applyFont="1" applyFill="1" applyBorder="1" applyAlignment="1">
      <alignment horizontal="center" vertical="center"/>
    </xf>
    <xf numFmtId="169" fontId="63" fillId="8" borderId="11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4" fontId="63" fillId="8" borderId="0" xfId="0" applyFont="1" applyFill="1" applyBorder="1" applyAlignment="1">
      <alignment horizontal="center" vertical="center"/>
    </xf>
    <xf numFmtId="4" fontId="6" fillId="0" borderId="0" xfId="0" quotePrefix="1" applyFont="1" applyFill="1" applyBorder="1" applyAlignment="1">
      <alignment vertical="center"/>
    </xf>
    <xf numFmtId="4" fontId="63" fillId="8" borderId="0" xfId="0" quotePrefix="1" applyFont="1" applyFill="1" applyBorder="1" applyAlignment="1">
      <alignment horizontal="center" vertical="center"/>
    </xf>
    <xf numFmtId="4" fontId="63" fillId="3" borderId="0" xfId="0" applyFont="1" applyFill="1" applyBorder="1" applyAlignment="1">
      <alignment vertical="center"/>
    </xf>
    <xf numFmtId="4" fontId="63" fillId="3" borderId="0" xfId="0" applyFont="1" applyFill="1" applyBorder="1" applyAlignment="1">
      <alignment horizontal="right" vertical="center"/>
    </xf>
    <xf numFmtId="3" fontId="63" fillId="3" borderId="0" xfId="0" applyNumberFormat="1" applyFont="1" applyFill="1" applyBorder="1" applyAlignment="1">
      <alignment horizontal="left" vertical="center"/>
    </xf>
    <xf numFmtId="4" fontId="61" fillId="3" borderId="0" xfId="0" applyFont="1" applyFill="1" applyBorder="1" applyAlignment="1">
      <alignment horizontal="right" vertical="center"/>
    </xf>
    <xf numFmtId="170" fontId="63" fillId="3" borderId="0" xfId="0" applyNumberFormat="1" applyFont="1" applyFill="1" applyBorder="1" applyAlignment="1">
      <alignment horizontal="left" vertical="center"/>
    </xf>
    <xf numFmtId="4" fontId="6" fillId="0" borderId="0" xfId="0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70" fontId="63" fillId="3" borderId="0" xfId="0" applyNumberFormat="1" applyFont="1" applyFill="1" applyBorder="1" applyAlignment="1">
      <alignment horizontal="center" vertical="center"/>
    </xf>
    <xf numFmtId="170" fontId="63" fillId="3" borderId="0" xfId="0" applyNumberFormat="1" applyFont="1" applyFill="1" applyBorder="1" applyAlignment="1">
      <alignment vertical="center"/>
    </xf>
    <xf numFmtId="3" fontId="63" fillId="3" borderId="0" xfId="0" applyNumberFormat="1" applyFont="1" applyFill="1" applyBorder="1" applyAlignment="1">
      <alignment horizontal="center" vertical="center"/>
    </xf>
    <xf numFmtId="4" fontId="63" fillId="3" borderId="11" xfId="0" applyFont="1" applyFill="1" applyBorder="1" applyAlignment="1">
      <alignment horizontal="center" vertical="center"/>
    </xf>
    <xf numFmtId="4" fontId="63" fillId="3" borderId="0" xfId="0" applyFont="1" applyFill="1" applyBorder="1" applyAlignment="1">
      <alignment horizontal="center" vertical="center"/>
    </xf>
    <xf numFmtId="9" fontId="63" fillId="3" borderId="0" xfId="1" applyFont="1" applyFill="1" applyBorder="1" applyAlignment="1">
      <alignment horizontal="left" vertical="center"/>
    </xf>
    <xf numFmtId="4" fontId="63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3" fontId="63" fillId="3" borderId="0" xfId="0" applyNumberFormat="1" applyFont="1" applyFill="1" applyBorder="1" applyAlignment="1">
      <alignment horizontal="right" vertical="center"/>
    </xf>
    <xf numFmtId="170" fontId="63" fillId="3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169" fontId="63" fillId="3" borderId="0" xfId="0" applyNumberFormat="1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center" vertical="center"/>
    </xf>
    <xf numFmtId="169" fontId="63" fillId="3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/>
    </xf>
    <xf numFmtId="169" fontId="63" fillId="3" borderId="0" xfId="0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left" vertical="center"/>
    </xf>
    <xf numFmtId="170" fontId="60" fillId="0" borderId="0" xfId="0" applyNumberFormat="1" applyFont="1" applyFill="1" applyBorder="1" applyAlignment="1">
      <alignment vertical="center"/>
    </xf>
    <xf numFmtId="4" fontId="5" fillId="0" borderId="0" xfId="0" applyFont="1" applyFill="1" applyBorder="1" applyAlignment="1">
      <alignment horizontal="left" vertical="center"/>
    </xf>
    <xf numFmtId="4" fontId="5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Border="1" applyAlignment="1">
      <alignment horizontal="right" vertical="center"/>
    </xf>
    <xf numFmtId="170" fontId="65" fillId="0" borderId="0" xfId="0" applyNumberFormat="1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left" vertical="center"/>
    </xf>
    <xf numFmtId="9" fontId="6" fillId="0" borderId="0" xfId="1" applyFont="1" applyFill="1" applyBorder="1" applyAlignment="1">
      <alignment horizontal="left" vertical="center"/>
    </xf>
    <xf numFmtId="170" fontId="58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left" vertical="center"/>
    </xf>
    <xf numFmtId="169" fontId="58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170" fontId="66" fillId="0" borderId="0" xfId="0" applyNumberFormat="1" applyFont="1" applyFill="1" applyBorder="1" applyAlignment="1">
      <alignment horizontal="right" vertical="center"/>
    </xf>
    <xf numFmtId="169" fontId="67" fillId="0" borderId="0" xfId="0" applyNumberFormat="1" applyFont="1" applyFill="1" applyBorder="1" applyAlignment="1">
      <alignment horizontal="right" vertical="center"/>
    </xf>
    <xf numFmtId="170" fontId="6" fillId="0" borderId="0" xfId="0" quotePrefix="1" applyNumberFormat="1" applyFont="1" applyFill="1" applyBorder="1" applyAlignment="1">
      <alignment vertical="center"/>
    </xf>
    <xf numFmtId="170" fontId="6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170" fontId="68" fillId="0" borderId="0" xfId="0" applyNumberFormat="1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/>
    </xf>
    <xf numFmtId="4" fontId="58" fillId="0" borderId="0" xfId="0" applyFont="1" applyFill="1" applyBorder="1" applyAlignment="1">
      <alignment horizontal="right" vertical="center"/>
    </xf>
    <xf numFmtId="4" fontId="60" fillId="0" borderId="0" xfId="0" applyFont="1" applyFill="1" applyBorder="1" applyAlignment="1">
      <alignment vertical="center"/>
    </xf>
    <xf numFmtId="4" fontId="65" fillId="0" borderId="0" xfId="0" applyFont="1" applyFill="1" applyBorder="1" applyAlignment="1">
      <alignment horizontal="right" vertical="center"/>
    </xf>
    <xf numFmtId="4" fontId="58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170" fontId="68" fillId="0" borderId="0" xfId="0" applyNumberFormat="1" applyFont="1" applyFill="1" applyBorder="1" applyAlignment="1">
      <alignment vertical="center"/>
    </xf>
    <xf numFmtId="170" fontId="68" fillId="0" borderId="0" xfId="0" applyNumberFormat="1" applyFont="1" applyFill="1" applyBorder="1" applyAlignment="1">
      <alignment horizontal="right" vertical="center"/>
    </xf>
    <xf numFmtId="4" fontId="65" fillId="0" borderId="0" xfId="0" applyFont="1" applyFill="1" applyBorder="1" applyAlignment="1">
      <alignment vertical="center"/>
    </xf>
    <xf numFmtId="4" fontId="6" fillId="0" borderId="0" xfId="0" applyFont="1" applyFill="1" applyBorder="1" applyAlignment="1">
      <alignment horizontal="left" vertical="center"/>
    </xf>
    <xf numFmtId="4" fontId="6" fillId="0" borderId="0" xfId="0" applyFont="1" applyFill="1" applyBorder="1" applyAlignment="1">
      <alignment vertical="center" wrapText="1"/>
    </xf>
    <xf numFmtId="4" fontId="66" fillId="0" borderId="0" xfId="0" applyFont="1" applyFill="1" applyBorder="1" applyAlignment="1">
      <alignment horizontal="right" vertical="center"/>
    </xf>
    <xf numFmtId="4" fontId="6" fillId="0" borderId="0" xfId="0" quotePrefix="1" applyFont="1" applyFill="1" applyBorder="1" applyAlignment="1">
      <alignment horizontal="left" vertical="center"/>
    </xf>
    <xf numFmtId="3" fontId="65" fillId="0" borderId="0" xfId="0" applyNumberFormat="1" applyFont="1" applyFill="1" applyBorder="1" applyAlignment="1">
      <alignment horizontal="left" vertical="center"/>
    </xf>
    <xf numFmtId="4" fontId="6" fillId="0" borderId="0" xfId="0" applyFont="1" applyFill="1" applyBorder="1" applyAlignment="1">
      <alignment horizontal="right" vertical="center" wrapText="1"/>
    </xf>
    <xf numFmtId="4" fontId="6" fillId="0" borderId="0" xfId="0" applyFont="1" applyFill="1" applyBorder="1" applyAlignment="1">
      <alignment horizontal="left" vertical="center" wrapText="1"/>
    </xf>
    <xf numFmtId="170" fontId="63" fillId="3" borderId="0" xfId="0" applyNumberFormat="1" applyFont="1" applyFill="1" applyBorder="1" applyAlignment="1">
      <alignment horizontal="left" vertical="center"/>
    </xf>
    <xf numFmtId="170" fontId="63" fillId="3" borderId="0" xfId="0" quotePrefix="1" applyNumberFormat="1" applyFont="1" applyFill="1" applyBorder="1" applyAlignment="1">
      <alignment horizontal="center" vertical="center"/>
    </xf>
    <xf numFmtId="4" fontId="63" fillId="3" borderId="0" xfId="0" applyNumberFormat="1" applyFont="1" applyFill="1" applyBorder="1" applyAlignment="1">
      <alignment horizontal="left" vertical="center"/>
    </xf>
    <xf numFmtId="170" fontId="63" fillId="3" borderId="0" xfId="0" applyNumberFormat="1" applyFont="1" applyFill="1" applyBorder="1" applyAlignment="1">
      <alignment horizontal="center" vertical="center"/>
    </xf>
    <xf numFmtId="4" fontId="6" fillId="5" borderId="0" xfId="0" applyFont="1" applyFill="1" applyBorder="1" applyAlignment="1">
      <alignment vertical="center"/>
    </xf>
    <xf numFmtId="169" fontId="63" fillId="8" borderId="0" xfId="0" applyNumberFormat="1" applyFont="1" applyFill="1" applyBorder="1" applyAlignment="1">
      <alignment horizontal="center" vertical="center"/>
    </xf>
    <xf numFmtId="169" fontId="63" fillId="4" borderId="0" xfId="0" applyNumberFormat="1" applyFont="1" applyFill="1" applyBorder="1" applyAlignment="1">
      <alignment horizontal="left" vertical="center"/>
    </xf>
    <xf numFmtId="3" fontId="63" fillId="4" borderId="0" xfId="0" applyNumberFormat="1" applyFont="1" applyFill="1" applyBorder="1" applyAlignment="1">
      <alignment horizontal="left" vertical="center"/>
    </xf>
    <xf numFmtId="169" fontId="63" fillId="8" borderId="0" xfId="0" applyNumberFormat="1" applyFont="1" applyFill="1" applyBorder="1" applyAlignment="1">
      <alignment horizontal="center" vertical="center"/>
    </xf>
    <xf numFmtId="169" fontId="63" fillId="8" borderId="11" xfId="0" applyNumberFormat="1" applyFont="1" applyFill="1" applyBorder="1" applyAlignment="1">
      <alignment horizontal="center" vertical="center"/>
    </xf>
    <xf numFmtId="170" fontId="63" fillId="8" borderId="0" xfId="0" applyNumberFormat="1" applyFont="1" applyFill="1" applyBorder="1" applyAlignment="1">
      <alignment horizontal="center" vertical="center"/>
    </xf>
    <xf numFmtId="4" fontId="63" fillId="3" borderId="0" xfId="0" applyNumberFormat="1" applyFont="1" applyFill="1" applyBorder="1" applyAlignment="1">
      <alignment horizontal="center" vertical="center"/>
    </xf>
    <xf numFmtId="169" fontId="63" fillId="3" borderId="0" xfId="0" applyNumberFormat="1" applyFont="1" applyFill="1" applyBorder="1" applyAlignment="1">
      <alignment horizontal="center" vertical="center"/>
    </xf>
    <xf numFmtId="4" fontId="4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69" fontId="63" fillId="3" borderId="0" xfId="0" applyNumberFormat="1" applyFont="1" applyFill="1" applyBorder="1" applyAlignment="1">
      <alignment horizontal="center" vertical="center"/>
    </xf>
    <xf numFmtId="169" fontId="63" fillId="3" borderId="0" xfId="0" applyNumberFormat="1" applyFont="1" applyFill="1" applyBorder="1" applyAlignment="1">
      <alignment horizontal="left" vertical="center"/>
    </xf>
    <xf numFmtId="4" fontId="63" fillId="4" borderId="0" xfId="0" applyNumberFormat="1" applyFont="1" applyFill="1" applyBorder="1" applyAlignment="1">
      <alignment horizontal="left" vertical="center"/>
    </xf>
    <xf numFmtId="4" fontId="65" fillId="12" borderId="0" xfId="0" applyFont="1" applyFill="1" applyBorder="1" applyAlignment="1">
      <alignment horizontal="left"/>
    </xf>
    <xf numFmtId="4" fontId="63" fillId="3" borderId="11" xfId="0" applyFont="1" applyFill="1" applyBorder="1" applyAlignment="1">
      <alignment horizontal="right" vertical="center"/>
    </xf>
    <xf numFmtId="4" fontId="63" fillId="3" borderId="11" xfId="0" applyNumberFormat="1" applyFont="1" applyFill="1" applyBorder="1" applyAlignment="1">
      <alignment horizontal="left" vertical="center"/>
    </xf>
    <xf numFmtId="170" fontId="63" fillId="3" borderId="19" xfId="0" applyNumberFormat="1" applyFont="1" applyFill="1" applyBorder="1" applyAlignment="1">
      <alignment horizontal="right" vertical="center"/>
    </xf>
    <xf numFmtId="4" fontId="63" fillId="3" borderId="0" xfId="0" applyFont="1" applyFill="1" applyBorder="1" applyAlignment="1">
      <alignment horizontal="left" vertical="center"/>
    </xf>
    <xf numFmtId="4" fontId="2" fillId="12" borderId="60" xfId="0" applyFont="1" applyFill="1" applyBorder="1" applyAlignment="1">
      <alignment vertical="center"/>
    </xf>
    <xf numFmtId="4" fontId="2" fillId="12" borderId="0" xfId="0" applyFont="1" applyFill="1" applyBorder="1" applyAlignment="1"/>
    <xf numFmtId="4" fontId="3" fillId="12" borderId="0" xfId="0" applyFont="1" applyFill="1" applyBorder="1" applyAlignment="1"/>
    <xf numFmtId="4" fontId="3" fillId="12" borderId="0" xfId="0" applyFont="1" applyFill="1" applyBorder="1" applyAlignment="1">
      <alignment vertical="center"/>
    </xf>
    <xf numFmtId="4" fontId="3" fillId="12" borderId="61" xfId="0" applyFont="1" applyFill="1" applyBorder="1" applyAlignment="1">
      <alignment vertical="center"/>
    </xf>
    <xf numFmtId="4" fontId="3" fillId="0" borderId="0" xfId="0" applyFont="1" applyFill="1" applyBorder="1" applyAlignment="1">
      <alignment vertical="center"/>
    </xf>
    <xf numFmtId="4" fontId="15" fillId="3" borderId="0" xfId="0" applyFont="1" applyFill="1" applyBorder="1" applyAlignment="1">
      <alignment horizontal="left" vertical="center"/>
    </xf>
    <xf numFmtId="4" fontId="15" fillId="4" borderId="0" xfId="0" applyFont="1" applyFill="1" applyBorder="1" applyAlignment="1">
      <alignment horizontal="left" vertical="center"/>
    </xf>
    <xf numFmtId="3" fontId="16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4" fontId="71" fillId="4" borderId="0" xfId="0" applyFont="1" applyFill="1" applyBorder="1" applyAlignment="1">
      <alignment horizontal="left" vertical="center"/>
    </xf>
    <xf numFmtId="4" fontId="74" fillId="0" borderId="0" xfId="0" applyFont="1" applyBorder="1" applyAlignment="1">
      <alignment horizontal="center" vertical="center"/>
    </xf>
    <xf numFmtId="4" fontId="15" fillId="4" borderId="0" xfId="0" applyNumberFormat="1" applyFont="1" applyFill="1" applyBorder="1" applyAlignment="1">
      <alignment horizontal="left" vertical="center"/>
    </xf>
    <xf numFmtId="3" fontId="15" fillId="4" borderId="11" xfId="0" applyNumberFormat="1" applyFont="1" applyFill="1" applyBorder="1" applyAlignment="1">
      <alignment horizontal="center" vertical="center"/>
    </xf>
    <xf numFmtId="3" fontId="15" fillId="4" borderId="11" xfId="0" applyNumberFormat="1" applyFont="1" applyFill="1" applyBorder="1" applyAlignment="1">
      <alignment horizontal="center" vertical="center"/>
    </xf>
    <xf numFmtId="4" fontId="15" fillId="13" borderId="0" xfId="0" applyFont="1" applyFill="1" applyBorder="1" applyAlignment="1">
      <alignment horizontal="right" vertical="center"/>
    </xf>
    <xf numFmtId="3" fontId="15" fillId="13" borderId="0" xfId="0" applyNumberFormat="1" applyFont="1" applyFill="1" applyBorder="1" applyAlignment="1">
      <alignment horizontal="left" vertical="center"/>
    </xf>
    <xf numFmtId="3" fontId="15" fillId="13" borderId="0" xfId="0" applyNumberFormat="1" applyFont="1" applyFill="1" applyBorder="1" applyAlignment="1">
      <alignment horizontal="right" vertical="center"/>
    </xf>
    <xf numFmtId="3" fontId="15" fillId="13" borderId="0" xfId="0" applyNumberFormat="1" applyFont="1" applyFill="1" applyBorder="1" applyAlignment="1">
      <alignment horizontal="center" vertical="center"/>
    </xf>
    <xf numFmtId="3" fontId="15" fillId="13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horizontal="left" vertical="center"/>
    </xf>
    <xf numFmtId="4" fontId="15" fillId="8" borderId="0" xfId="0" applyFont="1" applyFill="1" applyBorder="1" applyAlignment="1">
      <alignment horizontal="right" vertical="center"/>
    </xf>
    <xf numFmtId="4" fontId="15" fillId="8" borderId="0" xfId="0" applyFont="1" applyFill="1" applyBorder="1" applyAlignment="1">
      <alignment horizontal="left" vertical="center"/>
    </xf>
    <xf numFmtId="4" fontId="15" fillId="8" borderId="0" xfId="0" applyFont="1" applyFill="1" applyBorder="1" applyAlignment="1">
      <alignment horizontal="center" vertical="center"/>
    </xf>
    <xf numFmtId="3" fontId="15" fillId="8" borderId="0" xfId="0" applyNumberFormat="1" applyFont="1" applyFill="1" applyBorder="1" applyAlignment="1">
      <alignment horizontal="center" vertical="center"/>
    </xf>
    <xf numFmtId="4" fontId="15" fillId="8" borderId="11" xfId="0" applyFont="1" applyFill="1" applyBorder="1" applyAlignment="1">
      <alignment horizontal="center" vertical="center"/>
    </xf>
    <xf numFmtId="3" fontId="15" fillId="8" borderId="11" xfId="0" applyNumberFormat="1" applyFont="1" applyFill="1" applyBorder="1" applyAlignment="1">
      <alignment horizontal="center" vertical="center"/>
    </xf>
    <xf numFmtId="169" fontId="15" fillId="8" borderId="0" xfId="0" applyNumberFormat="1" applyFont="1" applyFill="1" applyBorder="1" applyAlignment="1">
      <alignment horizontal="center" vertical="center"/>
    </xf>
    <xf numFmtId="3" fontId="15" fillId="8" borderId="0" xfId="0" applyNumberFormat="1" applyFont="1" applyFill="1" applyBorder="1" applyAlignment="1">
      <alignment horizontal="center" vertical="center"/>
    </xf>
    <xf numFmtId="4" fontId="15" fillId="8" borderId="0" xfId="0" quotePrefix="1" applyFont="1" applyFill="1" applyBorder="1" applyAlignment="1">
      <alignment horizontal="left" vertical="center"/>
    </xf>
    <xf numFmtId="3" fontId="15" fillId="8" borderId="0" xfId="0" applyNumberFormat="1" applyFont="1" applyFill="1" applyBorder="1" applyAlignment="1">
      <alignment horizontal="right" vertical="center"/>
    </xf>
    <xf numFmtId="3" fontId="15" fillId="8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left" vertical="center"/>
    </xf>
    <xf numFmtId="4" fontId="15" fillId="3" borderId="0" xfId="0" applyNumberFormat="1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170" fontId="15" fillId="3" borderId="0" xfId="0" applyNumberFormat="1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 vertical="center"/>
    </xf>
    <xf numFmtId="3" fontId="15" fillId="3" borderId="11" xfId="0" applyNumberFormat="1" applyFont="1" applyFill="1" applyBorder="1" applyAlignment="1">
      <alignment horizontal="left" vertical="center"/>
    </xf>
    <xf numFmtId="169" fontId="15" fillId="3" borderId="11" xfId="0" applyNumberFormat="1" applyFont="1" applyFill="1" applyBorder="1" applyAlignment="1">
      <alignment horizontal="left" vertical="center"/>
    </xf>
    <xf numFmtId="170" fontId="15" fillId="3" borderId="11" xfId="0" applyNumberFormat="1" applyFont="1" applyFill="1" applyBorder="1" applyAlignment="1">
      <alignment horizontal="left" vertical="center"/>
    </xf>
    <xf numFmtId="169" fontId="15" fillId="3" borderId="0" xfId="0" applyNumberFormat="1" applyFont="1" applyFill="1" applyBorder="1" applyAlignment="1">
      <alignment horizontal="center" vertical="center"/>
    </xf>
    <xf numFmtId="4" fontId="15" fillId="11" borderId="0" xfId="0" applyFont="1" applyFill="1" applyBorder="1" applyAlignment="1">
      <alignment vertical="center"/>
    </xf>
    <xf numFmtId="4" fontId="22" fillId="0" borderId="6" xfId="0" applyFont="1" applyFill="1" applyBorder="1" applyAlignment="1">
      <alignment vertical="center"/>
    </xf>
    <xf numFmtId="4" fontId="22" fillId="0" borderId="0" xfId="0" applyFont="1" applyFill="1" applyBorder="1" applyAlignment="1">
      <alignment vertical="center"/>
    </xf>
    <xf numFmtId="4" fontId="9" fillId="2" borderId="0" xfId="0" applyFont="1" applyFill="1" applyBorder="1" applyAlignment="1">
      <alignment horizontal="center" vertical="center"/>
    </xf>
    <xf numFmtId="4" fontId="16" fillId="4" borderId="11" xfId="0" applyFont="1" applyFill="1" applyBorder="1" applyAlignment="1">
      <alignment horizontal="center" vertical="center"/>
    </xf>
    <xf numFmtId="4" fontId="15" fillId="5" borderId="11" xfId="0" applyFont="1" applyFill="1" applyBorder="1" applyAlignment="1">
      <alignment horizontal="center" vertical="center"/>
    </xf>
    <xf numFmtId="4" fontId="15" fillId="5" borderId="0" xfId="0" applyFont="1" applyFill="1" applyAlignment="1">
      <alignment horizontal="center" vertical="center"/>
    </xf>
    <xf numFmtId="170" fontId="15" fillId="3" borderId="0" xfId="0" applyNumberFormat="1" applyFont="1" applyFill="1" applyBorder="1" applyAlignment="1">
      <alignment horizontal="center" vertical="center"/>
    </xf>
    <xf numFmtId="4" fontId="18" fillId="6" borderId="1" xfId="0" applyFont="1" applyFill="1" applyBorder="1" applyAlignment="1">
      <alignment horizontal="center" vertical="center"/>
    </xf>
    <xf numFmtId="4" fontId="15" fillId="6" borderId="0" xfId="0" applyFont="1" applyFill="1" applyBorder="1" applyAlignment="1">
      <alignment horizontal="center" vertical="center"/>
    </xf>
    <xf numFmtId="4" fontId="15" fillId="3" borderId="0" xfId="0" applyFont="1" applyFill="1" applyBorder="1" applyAlignment="1">
      <alignment horizontal="left" vertical="center"/>
    </xf>
    <xf numFmtId="4" fontId="18" fillId="3" borderId="0" xfId="0" applyFont="1" applyFill="1" applyBorder="1" applyAlignment="1">
      <alignment horizontal="left" vertical="center"/>
    </xf>
    <xf numFmtId="4" fontId="15" fillId="6" borderId="0" xfId="0" quotePrefix="1" applyFont="1" applyFill="1" applyBorder="1" applyAlignment="1">
      <alignment horizontal="center" vertical="center"/>
    </xf>
    <xf numFmtId="4" fontId="38" fillId="0" borderId="0" xfId="0" applyFont="1" applyFill="1" applyBorder="1" applyAlignment="1">
      <alignment horizontal="center" vertical="center"/>
    </xf>
    <xf numFmtId="4" fontId="32" fillId="0" borderId="0" xfId="0" applyFont="1" applyFill="1" applyBorder="1" applyAlignment="1">
      <alignment horizontal="center"/>
    </xf>
    <xf numFmtId="4" fontId="38" fillId="0" borderId="0" xfId="0" applyFont="1" applyFill="1" applyBorder="1" applyAlignment="1">
      <alignment horizontal="center"/>
    </xf>
    <xf numFmtId="4" fontId="49" fillId="0" borderId="0" xfId="0" applyFont="1" applyFill="1" applyBorder="1" applyAlignment="1">
      <alignment horizontal="left" vertical="center"/>
    </xf>
    <xf numFmtId="4" fontId="56" fillId="0" borderId="0" xfId="0" applyFont="1" applyAlignment="1">
      <alignment horizontal="center" vertical="center"/>
    </xf>
    <xf numFmtId="4" fontId="53" fillId="14" borderId="65" xfId="0" applyFont="1" applyFill="1" applyBorder="1" applyAlignment="1">
      <alignment horizontal="center" vertical="center"/>
    </xf>
    <xf numFmtId="4" fontId="53" fillId="14" borderId="66" xfId="0" applyFont="1" applyFill="1" applyBorder="1" applyAlignment="1">
      <alignment horizontal="center" vertical="center"/>
    </xf>
    <xf numFmtId="4" fontId="53" fillId="14" borderId="67" xfId="0" applyFont="1" applyFill="1" applyBorder="1" applyAlignment="1">
      <alignment horizontal="center" vertical="center"/>
    </xf>
    <xf numFmtId="4" fontId="15" fillId="5" borderId="29" xfId="0" applyFont="1" applyFill="1" applyBorder="1" applyAlignment="1">
      <alignment horizontal="right" vertical="center" wrapText="1"/>
    </xf>
    <xf numFmtId="4" fontId="15" fillId="5" borderId="28" xfId="0" applyFont="1" applyFill="1" applyBorder="1" applyAlignment="1">
      <alignment horizontal="right" vertical="center" wrapText="1"/>
    </xf>
    <xf numFmtId="4" fontId="13" fillId="3" borderId="0" xfId="0" applyFont="1" applyFill="1" applyBorder="1" applyAlignment="1">
      <alignment horizontal="left"/>
    </xf>
    <xf numFmtId="3" fontId="16" fillId="4" borderId="32" xfId="0" applyNumberFormat="1" applyFont="1" applyFill="1" applyBorder="1" applyAlignment="1">
      <alignment horizontal="right" vertical="center"/>
    </xf>
    <xf numFmtId="3" fontId="16" fillId="4" borderId="27" xfId="0" applyNumberFormat="1" applyFont="1" applyFill="1" applyBorder="1" applyAlignment="1">
      <alignment horizontal="right" vertical="center"/>
    </xf>
    <xf numFmtId="169" fontId="15" fillId="4" borderId="19" xfId="0" applyNumberFormat="1" applyFont="1" applyFill="1" applyBorder="1" applyAlignment="1">
      <alignment horizontal="center" vertical="center"/>
    </xf>
    <xf numFmtId="169" fontId="15" fillId="4" borderId="11" xfId="0" applyNumberFormat="1" applyFont="1" applyFill="1" applyBorder="1" applyAlignment="1">
      <alignment horizontal="center" vertical="center"/>
    </xf>
    <xf numFmtId="4" fontId="15" fillId="5" borderId="26" xfId="0" applyFont="1" applyFill="1" applyBorder="1" applyAlignment="1">
      <alignment horizontal="right" vertical="center" textRotation="90" wrapText="1"/>
    </xf>
    <xf numFmtId="4" fontId="15" fillId="5" borderId="0" xfId="0" applyFont="1" applyFill="1" applyBorder="1" applyAlignment="1">
      <alignment horizontal="right" vertical="center" textRotation="90" wrapText="1"/>
    </xf>
    <xf numFmtId="4" fontId="15" fillId="5" borderId="18" xfId="0" applyFont="1" applyFill="1" applyBorder="1" applyAlignment="1">
      <alignment horizontal="right" vertical="center" textRotation="90" wrapText="1"/>
    </xf>
    <xf numFmtId="4" fontId="18" fillId="4" borderId="0" xfId="0" applyFont="1" applyFill="1" applyBorder="1" applyAlignment="1">
      <alignment horizontal="center" vertical="center"/>
    </xf>
    <xf numFmtId="4" fontId="15" fillId="4" borderId="20" xfId="0" applyFont="1" applyFill="1" applyBorder="1" applyAlignment="1">
      <alignment horizontal="right" vertical="center" wrapText="1"/>
    </xf>
    <xf numFmtId="4" fontId="15" fillId="4" borderId="14" xfId="0" applyFont="1" applyFill="1" applyBorder="1" applyAlignment="1">
      <alignment horizontal="right" vertical="center" wrapText="1"/>
    </xf>
    <xf numFmtId="4" fontId="15" fillId="4" borderId="15" xfId="0" applyFont="1" applyFill="1" applyBorder="1" applyAlignment="1">
      <alignment horizontal="right" vertical="center" wrapText="1"/>
    </xf>
    <xf numFmtId="4" fontId="15" fillId="4" borderId="16" xfId="0" applyFont="1" applyFill="1" applyBorder="1" applyAlignment="1">
      <alignment horizontal="right" vertical="center" textRotation="90" wrapText="1"/>
    </xf>
    <xf numFmtId="3" fontId="16" fillId="4" borderId="33" xfId="0" applyNumberFormat="1" applyFont="1" applyFill="1" applyBorder="1" applyAlignment="1">
      <alignment horizontal="right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right" vertical="center"/>
    </xf>
    <xf numFmtId="3" fontId="16" fillId="4" borderId="11" xfId="0" applyNumberFormat="1" applyFont="1" applyFill="1" applyBorder="1" applyAlignment="1">
      <alignment horizontal="right" vertical="center"/>
    </xf>
    <xf numFmtId="3" fontId="16" fillId="4" borderId="19" xfId="0" applyNumberFormat="1" applyFont="1" applyFill="1" applyBorder="1" applyAlignment="1">
      <alignment horizontal="right" vertical="center"/>
    </xf>
    <xf numFmtId="4" fontId="15" fillId="5" borderId="13" xfId="0" applyFont="1" applyFill="1" applyBorder="1" applyAlignment="1">
      <alignment horizontal="right" vertical="center" wrapText="1"/>
    </xf>
    <xf numFmtId="4" fontId="15" fillId="5" borderId="23" xfId="0" applyFont="1" applyFill="1" applyBorder="1" applyAlignment="1">
      <alignment horizontal="right" vertical="center" wrapText="1"/>
    </xf>
    <xf numFmtId="3" fontId="24" fillId="4" borderId="0" xfId="0" applyNumberFormat="1" applyFont="1" applyFill="1" applyBorder="1" applyAlignment="1">
      <alignment horizontal="center" vertical="center"/>
    </xf>
    <xf numFmtId="3" fontId="23" fillId="4" borderId="0" xfId="0" applyNumberFormat="1" applyFont="1" applyFill="1" applyBorder="1" applyAlignment="1">
      <alignment horizontal="center" vertical="center"/>
    </xf>
    <xf numFmtId="3" fontId="23" fillId="4" borderId="11" xfId="0" applyNumberFormat="1" applyFont="1" applyFill="1" applyBorder="1" applyAlignment="1">
      <alignment horizontal="center" vertical="center"/>
    </xf>
    <xf numFmtId="4" fontId="15" fillId="6" borderId="22" xfId="0" quotePrefix="1" applyFont="1" applyFill="1" applyBorder="1" applyAlignment="1">
      <alignment horizontal="center" vertical="center"/>
    </xf>
    <xf numFmtId="4" fontId="15" fillId="6" borderId="22" xfId="0" applyFont="1" applyFill="1" applyBorder="1" applyAlignment="1">
      <alignment horizontal="center" vertical="center"/>
    </xf>
    <xf numFmtId="4" fontId="15" fillId="6" borderId="24" xfId="0" quotePrefix="1" applyFont="1" applyFill="1" applyBorder="1" applyAlignment="1">
      <alignment horizontal="center" vertical="center"/>
    </xf>
    <xf numFmtId="4" fontId="15" fillId="6" borderId="24" xfId="0" applyFont="1" applyFill="1" applyBorder="1" applyAlignment="1">
      <alignment horizontal="center" vertical="center"/>
    </xf>
    <xf numFmtId="4" fontId="15" fillId="6" borderId="23" xfId="0" quotePrefix="1" applyFont="1" applyFill="1" applyBorder="1" applyAlignment="1">
      <alignment horizontal="center" vertical="center"/>
    </xf>
    <xf numFmtId="4" fontId="18" fillId="6" borderId="0" xfId="0" applyFont="1" applyFill="1" applyBorder="1" applyAlignment="1">
      <alignment horizontal="center" vertical="center"/>
    </xf>
    <xf numFmtId="3" fontId="15" fillId="4" borderId="13" xfId="0" applyNumberFormat="1" applyFont="1" applyFill="1" applyBorder="1" applyAlignment="1">
      <alignment horizontal="center" vertical="center"/>
    </xf>
    <xf numFmtId="3" fontId="15" fillId="4" borderId="20" xfId="0" applyNumberFormat="1" applyFont="1" applyFill="1" applyBorder="1" applyAlignment="1">
      <alignment horizontal="center" vertical="center"/>
    </xf>
    <xf numFmtId="3" fontId="15" fillId="4" borderId="19" xfId="0" applyNumberFormat="1" applyFont="1" applyFill="1" applyBorder="1" applyAlignment="1">
      <alignment horizontal="center" vertical="center"/>
    </xf>
    <xf numFmtId="3" fontId="15" fillId="4" borderId="11" xfId="0" applyNumberFormat="1" applyFont="1" applyFill="1" applyBorder="1" applyAlignment="1">
      <alignment horizontal="center" vertical="center"/>
    </xf>
    <xf numFmtId="4" fontId="9" fillId="0" borderId="0" xfId="0" applyFont="1" applyBorder="1" applyAlignment="1">
      <alignment horizontal="center" vertical="center"/>
    </xf>
    <xf numFmtId="4" fontId="15" fillId="6" borderId="48" xfId="0" applyFont="1" applyFill="1" applyBorder="1" applyAlignment="1">
      <alignment horizontal="center" vertical="center"/>
    </xf>
    <xf numFmtId="4" fontId="15" fillId="6" borderId="29" xfId="0" applyFont="1" applyFill="1" applyBorder="1" applyAlignment="1">
      <alignment horizontal="center" vertical="center"/>
    </xf>
    <xf numFmtId="4" fontId="9" fillId="0" borderId="0" xfId="0" applyFont="1" applyAlignment="1">
      <alignment horizontal="center" vertical="center" textRotation="90" wrapText="1"/>
    </xf>
    <xf numFmtId="4" fontId="15" fillId="10" borderId="40" xfId="0" applyFont="1" applyFill="1" applyBorder="1" applyAlignment="1">
      <alignment horizontal="left" vertical="center" textRotation="90" wrapText="1"/>
    </xf>
    <xf numFmtId="4" fontId="15" fillId="5" borderId="40" xfId="0" applyFont="1" applyFill="1" applyBorder="1" applyAlignment="1">
      <alignment horizontal="left" vertical="center" textRotation="90" wrapText="1"/>
    </xf>
    <xf numFmtId="4" fontId="15" fillId="6" borderId="47" xfId="0" applyFont="1" applyFill="1" applyBorder="1" applyAlignment="1">
      <alignment horizontal="center" vertical="center"/>
    </xf>
    <xf numFmtId="4" fontId="15" fillId="6" borderId="0" xfId="0" applyFont="1" applyFill="1" applyAlignment="1">
      <alignment horizontal="center" vertical="center" wrapText="1"/>
    </xf>
    <xf numFmtId="4" fontId="0" fillId="0" borderId="0" xfId="0">
      <alignment horizontal="center" vertical="center"/>
    </xf>
    <xf numFmtId="4" fontId="0" fillId="0" borderId="10" xfId="0" applyBorder="1" applyAlignment="1">
      <alignment horizontal="center" vertical="center" wrapText="1"/>
    </xf>
    <xf numFmtId="4" fontId="0" fillId="0" borderId="5" xfId="0" applyBorder="1" applyAlignment="1">
      <alignment horizontal="center" vertical="center" wrapText="1"/>
    </xf>
    <xf numFmtId="4" fontId="0" fillId="0" borderId="8" xfId="0" applyBorder="1" applyAlignment="1">
      <alignment horizontal="center" vertical="center" wrapText="1"/>
    </xf>
    <xf numFmtId="4" fontId="0" fillId="0" borderId="9" xfId="0" applyBorder="1" applyAlignment="1">
      <alignment horizontal="center" vertical="center" wrapText="1"/>
    </xf>
    <xf numFmtId="4" fontId="0" fillId="0" borderId="0" xfId="0" applyAlignment="1">
      <alignment horizontal="center" vertical="center" textRotation="90" wrapText="1"/>
    </xf>
    <xf numFmtId="4" fontId="0" fillId="0" borderId="7" xfId="0" applyBorder="1">
      <alignment horizontal="center" vertical="center"/>
    </xf>
    <xf numFmtId="4" fontId="0" fillId="0" borderId="4" xfId="0" applyBorder="1">
      <alignment horizontal="center" vertical="center"/>
    </xf>
    <xf numFmtId="170" fontId="63" fillId="3" borderId="19" xfId="0" applyNumberFormat="1" applyFont="1" applyFill="1" applyBorder="1" applyAlignment="1">
      <alignment horizontal="right" vertical="center"/>
    </xf>
    <xf numFmtId="170" fontId="63" fillId="3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9" fillId="0" borderId="1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4" fontId="15" fillId="4" borderId="0" xfId="0" applyNumberFormat="1" applyFont="1" applyFill="1" applyBorder="1" applyAlignment="1">
      <alignment horizontal="left" vertical="center"/>
    </xf>
  </cellXfs>
  <cellStyles count="5">
    <cellStyle name="Currency" xfId="2" builtinId="4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Syndrome'!$H$3</c:f>
              <c:numCache>
                <c:formatCode>#,##0.00</c:formatCode>
                <c:ptCount val="1"/>
                <c:pt idx="0">
                  <c:v>99.5</c:v>
                </c:pt>
              </c:numCache>
            </c:numRef>
          </c:val>
        </c:ser>
        <c:ser>
          <c:idx val="2"/>
          <c:order val="1"/>
          <c:tx>
            <c:v>M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'Tacoma Syndrome'!$J$3</c:f>
                <c:numCache>
                  <c:formatCode>General</c:formatCode>
                  <c:ptCount val="1"/>
                  <c:pt idx="0">
                    <c:v>0.631831108876742</c:v>
                  </c:pt>
                </c:numCache>
              </c:numRef>
            </c:plus>
            <c:minus>
              <c:numRef>
                <c:f>'Tacoma Syndrome'!$J$3</c:f>
                <c:numCache>
                  <c:formatCode>General</c:formatCode>
                  <c:ptCount val="1"/>
                  <c:pt idx="0">
                    <c:v>0.631831108876742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Syndrome'!$I$3</c:f>
              <c:numCache>
                <c:formatCode>#,##0.00</c:formatCode>
                <c:ptCount val="1"/>
                <c:pt idx="0">
                  <c:v>99.57000000000001</c:v>
                </c:pt>
              </c:numCache>
            </c:numRef>
          </c:val>
        </c:ser>
        <c:axId val="415725656"/>
        <c:axId val="484360984"/>
      </c:barChart>
      <c:catAx>
        <c:axId val="415725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         Mean</a:t>
                </a:r>
              </a:p>
            </c:rich>
          </c:tx>
        </c:title>
        <c:numFmt formatCode="#,##0.00" sourceLinked="1"/>
        <c:tickLblPos val="nextTo"/>
        <c:crossAx val="484360984"/>
        <c:crosses val="autoZero"/>
        <c:auto val="1"/>
        <c:lblAlgn val="ctr"/>
        <c:lblOffset val="100"/>
      </c:catAx>
      <c:valAx>
        <c:axId val="484360984"/>
        <c:scaling>
          <c:orientation val="minMax"/>
          <c:max val="101.0"/>
          <c:min val="98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 Patent Mean Temperature</a:t>
                </a:r>
              </a:p>
            </c:rich>
          </c:tx>
        </c:title>
        <c:numFmt formatCode="#,##0" sourceLinked="0"/>
        <c:tickLblPos val="nextTo"/>
        <c:crossAx val="415725656"/>
        <c:crosses val="autoZero"/>
        <c:crossBetween val="between"/>
        <c:majorUnit val="1.0"/>
      </c:valAx>
    </c:plotArea>
    <c:plotVisOnly val="1"/>
    <c:dispBlanksAs val="gap"/>
  </c:chart>
  <c:spPr>
    <a:solidFill>
      <a:schemeClr val="bg1">
        <a:lumMod val="65000"/>
      </a:schemeClr>
    </a:solidFill>
    <a:ln w="1905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/>
      <c:scatterChart>
        <c:scatterStyle val="lineMarker"/>
        <c:ser>
          <c:idx val="4"/>
          <c:order val="0"/>
          <c:tx>
            <c:v>All conditions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False'!$W$7:$W$55</c:f>
              <c:numCache>
                <c:formatCode>#,##0.00</c:formatCode>
                <c:ptCount val="49"/>
                <c:pt idx="0">
                  <c:v>69.63343685400051</c:v>
                </c:pt>
                <c:pt idx="1">
                  <c:v>69.85248024771477</c:v>
                </c:pt>
                <c:pt idx="2">
                  <c:v>70.07152364142902</c:v>
                </c:pt>
                <c:pt idx="3">
                  <c:v>70.29056703514328</c:v>
                </c:pt>
                <c:pt idx="4">
                  <c:v>70.50961042885754</c:v>
                </c:pt>
                <c:pt idx="5">
                  <c:v>70.7286538225718</c:v>
                </c:pt>
                <c:pt idx="6">
                  <c:v>70.94769721628605</c:v>
                </c:pt>
                <c:pt idx="7">
                  <c:v>71.16674061000033</c:v>
                </c:pt>
                <c:pt idx="8">
                  <c:v>71.38578400371459</c:v>
                </c:pt>
                <c:pt idx="9">
                  <c:v>71.60482739742885</c:v>
                </c:pt>
                <c:pt idx="10">
                  <c:v>71.82387079114312</c:v>
                </c:pt>
                <c:pt idx="11">
                  <c:v>72.04291418485738</c:v>
                </c:pt>
                <c:pt idx="12">
                  <c:v>72.26195757857164</c:v>
                </c:pt>
                <c:pt idx="13">
                  <c:v>72.4810009722859</c:v>
                </c:pt>
                <c:pt idx="14">
                  <c:v>72.70004436600015</c:v>
                </c:pt>
                <c:pt idx="15">
                  <c:v>72.91908775971441</c:v>
                </c:pt>
                <c:pt idx="16">
                  <c:v>73.13813115342867</c:v>
                </c:pt>
                <c:pt idx="17">
                  <c:v>73.35717454714293</c:v>
                </c:pt>
                <c:pt idx="18">
                  <c:v>73.5762179408572</c:v>
                </c:pt>
                <c:pt idx="19">
                  <c:v>73.79526133457145</c:v>
                </c:pt>
                <c:pt idx="20">
                  <c:v>74.0143047282857</c:v>
                </c:pt>
                <c:pt idx="21">
                  <c:v>74.23334812199997</c:v>
                </c:pt>
                <c:pt idx="22">
                  <c:v>74.45239151571424</c:v>
                </c:pt>
                <c:pt idx="23">
                  <c:v>74.6714349094285</c:v>
                </c:pt>
                <c:pt idx="24">
                  <c:v>74.89047830314276</c:v>
                </c:pt>
                <c:pt idx="25">
                  <c:v>75.10952169685701</c:v>
                </c:pt>
                <c:pt idx="26">
                  <c:v>75.32856509057127</c:v>
                </c:pt>
                <c:pt idx="27">
                  <c:v>75.54760848428554</c:v>
                </c:pt>
                <c:pt idx="28">
                  <c:v>75.76665187799981</c:v>
                </c:pt>
                <c:pt idx="29">
                  <c:v>75.98569527171406</c:v>
                </c:pt>
                <c:pt idx="30">
                  <c:v>76.20473866542832</c:v>
                </c:pt>
                <c:pt idx="31">
                  <c:v>76.42378205914258</c:v>
                </c:pt>
                <c:pt idx="32">
                  <c:v>76.64282545285684</c:v>
                </c:pt>
                <c:pt idx="33">
                  <c:v>76.8618688465711</c:v>
                </c:pt>
                <c:pt idx="34">
                  <c:v>77.08091224028535</c:v>
                </c:pt>
                <c:pt idx="35">
                  <c:v>77.29995563399961</c:v>
                </c:pt>
                <c:pt idx="36">
                  <c:v>77.51899902771387</c:v>
                </c:pt>
                <c:pt idx="37">
                  <c:v>77.73804242142813</c:v>
                </c:pt>
                <c:pt idx="38">
                  <c:v>77.9570858151424</c:v>
                </c:pt>
                <c:pt idx="39">
                  <c:v>78.17612920885666</c:v>
                </c:pt>
                <c:pt idx="40">
                  <c:v>78.39517260257092</c:v>
                </c:pt>
                <c:pt idx="41">
                  <c:v>78.61421599628518</c:v>
                </c:pt>
                <c:pt idx="42">
                  <c:v>78.83325938999944</c:v>
                </c:pt>
                <c:pt idx="43">
                  <c:v>79.0523027837137</c:v>
                </c:pt>
                <c:pt idx="44">
                  <c:v>79.27134617742796</c:v>
                </c:pt>
                <c:pt idx="45">
                  <c:v>79.4903895711422</c:v>
                </c:pt>
                <c:pt idx="46">
                  <c:v>79.70943296485648</c:v>
                </c:pt>
                <c:pt idx="47">
                  <c:v>79.92847635857073</c:v>
                </c:pt>
                <c:pt idx="48">
                  <c:v>80.14751975228499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axId val="189173992"/>
        <c:axId val="189180264"/>
      </c:scatterChart>
      <c:valAx>
        <c:axId val="189173992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 = mu1 = mu2 = mu3</a:t>
                </a:r>
                <a:r>
                  <a:rPr lang="en-US" sz="1800" b="0" baseline="0"/>
                  <a:t> = mu4</a:t>
                </a:r>
                <a:endParaRPr lang="en-US" sz="1800" b="0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89180264"/>
        <c:crosses val="autoZero"/>
        <c:crossBetween val="midCat"/>
      </c:valAx>
      <c:valAx>
        <c:axId val="18918026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189173992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75807699256105"/>
          <c:y val="0.0238649607818888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both"/>
            <c:errValType val="fixedVal"/>
            <c:noEndCap val="1"/>
            <c:val val="0.0"/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n''s'!$O$3:$O$6</c:f>
              <c:numCache>
                <c:formatCode>#,##0.0</c:formatCode>
                <c:ptCount val="4"/>
                <c:pt idx="0">
                  <c:v>5.0</c:v>
                </c:pt>
                <c:pt idx="1">
                  <c:v>2.0</c:v>
                </c:pt>
                <c:pt idx="2">
                  <c:v>5.8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errBars>
            <c:errBarType val="both"/>
            <c:errValType val="cust"/>
            <c:plus>
              <c:numRef>
                <c:f>'Unequal n''s'!$Q$3:$Q$6</c:f>
                <c:numCache>
                  <c:formatCode>General</c:formatCode>
                  <c:ptCount val="4"/>
                  <c:pt idx="0">
                    <c:v>0.314484543069391</c:v>
                  </c:pt>
                  <c:pt idx="1">
                    <c:v>0.198897489003319</c:v>
                  </c:pt>
                  <c:pt idx="2">
                    <c:v>0.222374152982719</c:v>
                  </c:pt>
                  <c:pt idx="3">
                    <c:v>0.198897489003319</c:v>
                  </c:pt>
                </c:numCache>
              </c:numRef>
            </c:plus>
            <c:minus>
              <c:numRef>
                <c:f>'Unequal n''s'!$Q$3:$Q$6</c:f>
                <c:numCache>
                  <c:formatCode>General</c:formatCode>
                  <c:ptCount val="4"/>
                  <c:pt idx="0">
                    <c:v>0.314484543069391</c:v>
                  </c:pt>
                  <c:pt idx="1">
                    <c:v>0.198897489003319</c:v>
                  </c:pt>
                  <c:pt idx="2">
                    <c:v>0.222374152982719</c:v>
                  </c:pt>
                  <c:pt idx="3">
                    <c:v>0.198897489003319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n''s'!$P$3:$P$6</c:f>
              <c:numCache>
                <c:formatCode>#,##0.00</c:formatCode>
                <c:ptCount val="4"/>
                <c:pt idx="0">
                  <c:v>4.5</c:v>
                </c:pt>
                <c:pt idx="1">
                  <c:v>2.0</c:v>
                </c:pt>
                <c:pt idx="2">
                  <c:v>6.0</c:v>
                </c:pt>
                <c:pt idx="3">
                  <c:v>3.0</c:v>
                </c:pt>
              </c:numCache>
            </c:numRef>
          </c:val>
        </c:ser>
        <c:axId val="189226904"/>
        <c:axId val="189248472"/>
      </c:barChart>
      <c:catAx>
        <c:axId val="189226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89248472"/>
        <c:crosses val="autoZero"/>
        <c:auto val="1"/>
        <c:lblAlgn val="ctr"/>
        <c:lblOffset val="100"/>
      </c:catAx>
      <c:valAx>
        <c:axId val="189248472"/>
        <c:scaling>
          <c:orientation val="minMax"/>
          <c:max val="7.9"/>
          <c:min val="0.0"/>
        </c:scaling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189226904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72897396817412"/>
          <c:y val="0.140131951236879"/>
          <c:w val="0.33519102415537"/>
          <c:h val="0.071540819384702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 assume HOV</a:t>
            </a:r>
          </a:p>
        </c:rich>
      </c:tx>
      <c:layout>
        <c:manualLayout>
          <c:xMode val="edge"/>
          <c:yMode val="edge"/>
          <c:x val="0.289610525716921"/>
          <c:y val="0.0262446550567566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muj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both"/>
            <c:errValType val="fixedVal"/>
            <c:noEndCap val="1"/>
            <c:val val="0.0"/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n''s'!$O$3:$O$6</c:f>
              <c:numCache>
                <c:formatCode>#,##0.0</c:formatCode>
                <c:ptCount val="4"/>
                <c:pt idx="0">
                  <c:v>5.0</c:v>
                </c:pt>
                <c:pt idx="1">
                  <c:v>2.0</c:v>
                </c:pt>
                <c:pt idx="2">
                  <c:v>5.8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v>Mj</c:v>
          </c:tx>
          <c:spPr>
            <a:solidFill>
              <a:srgbClr val="FF0000"/>
            </a:solidFill>
          </c:spPr>
          <c:errBars>
            <c:errBarType val="both"/>
            <c:errValType val="cust"/>
            <c:plus>
              <c:numRef>
                <c:f>'Unequal n''s'!$R$3:$R$6</c:f>
                <c:numCache>
                  <c:formatCode>General</c:formatCode>
                  <c:ptCount val="4"/>
                  <c:pt idx="0">
                    <c:v>6.35310236699349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</c:numCache>
              </c:numRef>
            </c:plus>
            <c:minus>
              <c:numRef>
                <c:f>'Unequal n''s'!$R$3:$R$6</c:f>
                <c:numCache>
                  <c:formatCode>General</c:formatCode>
                  <c:ptCount val="4"/>
                  <c:pt idx="0">
                    <c:v>6.35310236699349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strRef>
              <c:f>'Unequal n''s'!$N$3:$N$6</c:f>
              <c:strCache>
                <c:ptCount val="4"/>
                <c:pt idx="0">
                  <c:v>RW</c:v>
                </c:pt>
                <c:pt idx="1">
                  <c:v>WW</c:v>
                </c:pt>
                <c:pt idx="2">
                  <c:v>S</c:v>
                </c:pt>
                <c:pt idx="3">
                  <c:v>V</c:v>
                </c:pt>
              </c:strCache>
            </c:strRef>
          </c:cat>
          <c:val>
            <c:numRef>
              <c:f>'Unequal n''s'!$P$3:$P$6</c:f>
              <c:numCache>
                <c:formatCode>#,##0.00</c:formatCode>
                <c:ptCount val="4"/>
                <c:pt idx="0">
                  <c:v>4.5</c:v>
                </c:pt>
                <c:pt idx="1">
                  <c:v>2.0</c:v>
                </c:pt>
                <c:pt idx="2">
                  <c:v>6.0</c:v>
                </c:pt>
                <c:pt idx="3">
                  <c:v>3.0</c:v>
                </c:pt>
              </c:numCache>
            </c:numRef>
          </c:val>
        </c:ser>
        <c:axId val="189274360"/>
        <c:axId val="189295912"/>
      </c:barChart>
      <c:catAx>
        <c:axId val="189274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Type of Alcohol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189295912"/>
        <c:crosses val="autoZero"/>
        <c:auto val="1"/>
        <c:lblAlgn val="ctr"/>
        <c:lblOffset val="100"/>
      </c:catAx>
      <c:valAx>
        <c:axId val="189295912"/>
        <c:scaling>
          <c:orientation val="minMax"/>
          <c:max val="7.9"/>
          <c:min val="0.0"/>
        </c:scaling>
        <c:axPos val="l"/>
        <c:majorGridlines/>
        <c:title>
          <c:tx>
            <c:rich>
              <a:bodyPr anchor="b" anchorCtr="0"/>
              <a:lstStyle/>
              <a:p>
                <a:pPr>
                  <a:defRPr sz="2400" b="0"/>
                </a:pPr>
                <a:r>
                  <a:rPr lang="en-US" sz="2400" b="0"/>
                  <a:t>Hangover Rating</a:t>
                </a:r>
              </a:p>
            </c:rich>
          </c:tx>
          <c:layout>
            <c:manualLayout>
              <c:xMode val="edge"/>
              <c:yMode val="edge"/>
              <c:x val="0.00567226965821077"/>
              <c:y val="0.2362822887515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2400" b="0" i="0"/>
            </a:pPr>
            <a:endParaRPr lang="en-US"/>
          </a:p>
        </c:txPr>
        <c:crossAx val="189274360"/>
        <c:crosses val="autoZero"/>
        <c:crossBetween val="between"/>
        <c:majorUnit val="1.0"/>
      </c:valAx>
    </c:plotArea>
    <c:legend>
      <c:legendPos val="r"/>
      <c:layout>
        <c:manualLayout>
          <c:xMode val="edge"/>
          <c:yMode val="edge"/>
          <c:x val="0.355150919912286"/>
          <c:y val="0.137752256962011"/>
          <c:w val="0.304768492318011"/>
          <c:h val="0.071540819384702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ANOVA'!$O$3:$O$6</c:f>
              <c:numCache>
                <c:formatCode>#,##0</c:formatCode>
                <c:ptCount val="4"/>
                <c:pt idx="0">
                  <c:v>95.0</c:v>
                </c:pt>
                <c:pt idx="1">
                  <c:v>80.0</c:v>
                </c:pt>
                <c:pt idx="2">
                  <c:v>74.0</c:v>
                </c:pt>
                <c:pt idx="3">
                  <c:v>72.0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2.770528867619741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2.770528867619741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ANOVA'!$Q$3:$Q$6</c:f>
              <c:numCache>
                <c:formatCode>#,##0.0</c:formatCode>
                <c:ptCount val="4"/>
                <c:pt idx="0">
                  <c:v>95.8</c:v>
                </c:pt>
                <c:pt idx="1">
                  <c:v>78.6</c:v>
                </c:pt>
                <c:pt idx="2">
                  <c:v>74.8</c:v>
                </c:pt>
                <c:pt idx="3">
                  <c:v>69.8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ANOVA'!$P$3:$P$6</c:f>
              <c:numCache>
                <c:formatCode>#,##0</c:formatCode>
                <c:ptCount val="4"/>
                <c:pt idx="0">
                  <c:v>74.0</c:v>
                </c:pt>
                <c:pt idx="1">
                  <c:v>72.0</c:v>
                </c:pt>
                <c:pt idx="2">
                  <c:v>72.0</c:v>
                </c:pt>
                <c:pt idx="3">
                  <c:v>72.0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2.770528867619741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2.770528867619741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ANOVA'!$R$3:$R$6</c:f>
              <c:numCache>
                <c:formatCode>#,##0.0</c:formatCode>
                <c:ptCount val="4"/>
                <c:pt idx="0">
                  <c:v>72.4</c:v>
                </c:pt>
                <c:pt idx="1">
                  <c:v>71.4</c:v>
                </c:pt>
                <c:pt idx="2">
                  <c:v>69.8</c:v>
                </c:pt>
                <c:pt idx="3">
                  <c:v>71.4</c:v>
                </c:pt>
              </c:numCache>
            </c:numRef>
          </c:yVal>
        </c:ser>
        <c:axId val="189383656"/>
        <c:axId val="189391416"/>
      </c:scatterChart>
      <c:valAx>
        <c:axId val="189383656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391416"/>
        <c:crosses val="autoZero"/>
        <c:crossBetween val="midCat"/>
        <c:majorUnit val="15.0"/>
        <c:minorUnit val="0.03"/>
      </c:valAx>
      <c:valAx>
        <c:axId val="18939141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38365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 (2)'!$C$39</c:f>
                <c:numCache>
                  <c:formatCode>General</c:formatCode>
                  <c:ptCount val="1"/>
                  <c:pt idx="0">
                    <c:v>1.04361777956054</c:v>
                  </c:pt>
                </c:numCache>
              </c:numRef>
            </c:plus>
            <c:minus>
              <c:numRef>
                <c:f>'Two-way ANOVA (2)'!$C$39</c:f>
                <c:numCache>
                  <c:formatCode>General</c:formatCode>
                  <c:ptCount val="1"/>
                  <c:pt idx="0">
                    <c:v>1.04361777956054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(2)'!$Q$3:$Q$6</c:f>
              <c:numCache>
                <c:formatCode>#,##0.0</c:formatCode>
                <c:ptCount val="4"/>
                <c:pt idx="0">
                  <c:v>90.0</c:v>
                </c:pt>
                <c:pt idx="1">
                  <c:v>81.0</c:v>
                </c:pt>
                <c:pt idx="2">
                  <c:v>69.2</c:v>
                </c:pt>
                <c:pt idx="3">
                  <c:v>64.6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(2)'!$P$3:$P$6</c:f>
              <c:numCache>
                <c:formatCode>#,##0</c:formatCode>
                <c:ptCount val="4"/>
                <c:pt idx="0">
                  <c:v>80.0</c:v>
                </c:pt>
                <c:pt idx="1">
                  <c:v>70.0</c:v>
                </c:pt>
                <c:pt idx="2">
                  <c:v>60.0</c:v>
                </c:pt>
                <c:pt idx="3">
                  <c:v>55.0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 (2)'!$C$39</c:f>
                <c:numCache>
                  <c:formatCode>General</c:formatCode>
                  <c:ptCount val="1"/>
                  <c:pt idx="0">
                    <c:v>1.04361777956054</c:v>
                  </c:pt>
                </c:numCache>
              </c:numRef>
            </c:plus>
            <c:minus>
              <c:numRef>
                <c:f>'Two-way ANOVA (2)'!$C$39</c:f>
                <c:numCache>
                  <c:formatCode>General</c:formatCode>
                  <c:ptCount val="1"/>
                  <c:pt idx="0">
                    <c:v>1.04361777956054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(2)'!$R$3:$R$6</c:f>
              <c:numCache>
                <c:formatCode>#,##0.0</c:formatCode>
                <c:ptCount val="4"/>
                <c:pt idx="0">
                  <c:v>79.4</c:v>
                </c:pt>
                <c:pt idx="1">
                  <c:v>70.2</c:v>
                </c:pt>
                <c:pt idx="2">
                  <c:v>60.4</c:v>
                </c:pt>
                <c:pt idx="3">
                  <c:v>54.8</c:v>
                </c:pt>
              </c:numCache>
            </c:numRef>
          </c:yVal>
        </c:ser>
        <c:ser>
          <c:idx val="4"/>
          <c:order val="4"/>
          <c:tx>
            <c:v>Column mu's</c:v>
          </c:tx>
          <c:spPr>
            <a:ln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(2)'!$S$3:$S$6</c:f>
              <c:numCache>
                <c:formatCode>#,##0</c:formatCode>
                <c:ptCount val="4"/>
                <c:pt idx="0">
                  <c:v>85.0</c:v>
                </c:pt>
                <c:pt idx="1">
                  <c:v>75.0</c:v>
                </c:pt>
                <c:pt idx="2">
                  <c:v>65.0</c:v>
                </c:pt>
                <c:pt idx="3">
                  <c:v>60.0</c:v>
                </c:pt>
              </c:numCache>
            </c:numRef>
          </c:yVal>
        </c:ser>
        <c:ser>
          <c:idx val="5"/>
          <c:order val="5"/>
          <c:tx>
            <c:v>Column M's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 (2)'!$C$40</c:f>
                <c:numCache>
                  <c:formatCode>General</c:formatCode>
                  <c:ptCount val="1"/>
                  <c:pt idx="0">
                    <c:v>0.737949208894105</c:v>
                  </c:pt>
                </c:numCache>
              </c:numRef>
            </c:plus>
            <c:minus>
              <c:numRef>
                <c:f>'Two-way ANOVA (2)'!$C$40</c:f>
                <c:numCache>
                  <c:formatCode>General</c:formatCode>
                  <c:ptCount val="1"/>
                  <c:pt idx="0">
                    <c:v>0.737949208894105</c:v>
                  </c:pt>
                </c:numCache>
              </c:numRef>
            </c:minus>
          </c:errBars>
          <c:xVal>
            <c:numRef>
              <c:f>'Two-way ANOVA (2)'!$N$3:$N$6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 (2)'!$T$3:$T$6</c:f>
              <c:numCache>
                <c:formatCode>#,##0.00</c:formatCode>
                <c:ptCount val="4"/>
                <c:pt idx="0">
                  <c:v>84.7</c:v>
                </c:pt>
                <c:pt idx="1">
                  <c:v>75.6</c:v>
                </c:pt>
                <c:pt idx="2">
                  <c:v>64.8</c:v>
                </c:pt>
                <c:pt idx="3">
                  <c:v>59.7</c:v>
                </c:pt>
              </c:numCache>
            </c:numRef>
          </c:yVal>
        </c:ser>
        <c:axId val="188942584"/>
        <c:axId val="188950136"/>
      </c:scatterChart>
      <c:valAx>
        <c:axId val="188942584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950136"/>
        <c:crosses val="autoZero"/>
        <c:crossBetween val="midCat"/>
        <c:majorUnit val="15.0"/>
        <c:minorUnit val="0.03"/>
      </c:valAx>
      <c:valAx>
        <c:axId val="18895013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942584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1"/>
          <c:order val="0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0090"/>
              </a:solidFill>
              <a:ln w="12700" cmpd="sng">
                <a:solidFill>
                  <a:srgbClr val="00009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'Simple effects'!$I$20</c:f>
                <c:numCache>
                  <c:formatCode>General</c:formatCode>
                  <c:ptCount val="1"/>
                  <c:pt idx="0">
                    <c:v>2.550237280788355</c:v>
                  </c:pt>
                </c:numCache>
              </c:numRef>
            </c:plus>
            <c:minus>
              <c:numRef>
                <c:f>'Simple effects'!$I$20</c:f>
                <c:numCache>
                  <c:formatCode>General</c:formatCode>
                  <c:ptCount val="1"/>
                  <c:pt idx="0">
                    <c:v>2.550237280788355</c:v>
                  </c:pt>
                </c:numCache>
              </c:numRef>
            </c:minus>
            <c:spPr>
              <a:ln>
                <a:solidFill>
                  <a:srgbClr val="000090"/>
                </a:solidFill>
              </a:ln>
            </c:spPr>
          </c:errBars>
          <c:xVal>
            <c:numRef>
              <c:f>'Simple effects'!$B$20:$B$23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'Simple effects'!$C$20:$C$23</c:f>
              <c:numCache>
                <c:formatCode>#,##0.0</c:formatCode>
                <c:ptCount val="4"/>
                <c:pt idx="0">
                  <c:v>89.8</c:v>
                </c:pt>
                <c:pt idx="1">
                  <c:v>82.6</c:v>
                </c:pt>
                <c:pt idx="2">
                  <c:v>72.4</c:v>
                </c:pt>
                <c:pt idx="3">
                  <c:v>63.6</c:v>
                </c:pt>
              </c:numCache>
            </c:numRef>
          </c:yVal>
        </c:ser>
        <c:ser>
          <c:idx val="3"/>
          <c:order val="1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2.770528867619741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2.770528867619741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'Simple effects'!$B$20:$B$23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'Simple effects'!$D$20:$D$23</c:f>
              <c:numCache>
                <c:formatCode>#,##0.0</c:formatCode>
                <c:ptCount val="4"/>
                <c:pt idx="0">
                  <c:v>62.6</c:v>
                </c:pt>
                <c:pt idx="1">
                  <c:v>64.4</c:v>
                </c:pt>
                <c:pt idx="2">
                  <c:v>62.2</c:v>
                </c:pt>
                <c:pt idx="3">
                  <c:v>61.8</c:v>
                </c:pt>
              </c:numCache>
            </c:numRef>
          </c:yVal>
        </c:ser>
        <c:axId val="188968392"/>
        <c:axId val="189418008"/>
      </c:scatterChart>
      <c:valAx>
        <c:axId val="188968392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418008"/>
        <c:crosses val="autoZero"/>
        <c:crossBetween val="midCat"/>
        <c:majorUnit val="15.0"/>
        <c:minorUnit val="0.03"/>
      </c:valAx>
      <c:valAx>
        <c:axId val="189418008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.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968392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'WSD-Incentive(2)'!$D$8:$F$8</c:f>
              <c:numCache>
                <c:formatCode>#,##0</c:formatCode>
                <c:ptCount val="3"/>
                <c:pt idx="0">
                  <c:v>10.0</c:v>
                </c:pt>
                <c:pt idx="1">
                  <c:v>15.0</c:v>
                </c:pt>
                <c:pt idx="2">
                  <c:v>14.0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'WSD-Incentive(2)'!$D$9:$F$9</c:f>
              <c:numCache>
                <c:formatCode>#,##0</c:formatCode>
                <c:ptCount val="3"/>
                <c:pt idx="0">
                  <c:v>9.0</c:v>
                </c:pt>
                <c:pt idx="1">
                  <c:v>13.0</c:v>
                </c:pt>
                <c:pt idx="2">
                  <c:v>15.0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'WSD-Incentive(2)'!$D$10:$F$10</c:f>
              <c:numCache>
                <c:formatCode>#,##0</c:formatCode>
                <c:ptCount val="3"/>
                <c:pt idx="0">
                  <c:v>6.0</c:v>
                </c:pt>
                <c:pt idx="1">
                  <c:v>14.0</c:v>
                </c:pt>
                <c:pt idx="2">
                  <c:v>15.0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'WSD-Incentive(2)'!$D$11:$F$11</c:f>
              <c:numCache>
                <c:formatCode>#,##0</c:formatCode>
                <c:ptCount val="3"/>
                <c:pt idx="0">
                  <c:v>5.0</c:v>
                </c:pt>
                <c:pt idx="1">
                  <c:v>12.0</c:v>
                </c:pt>
                <c:pt idx="2">
                  <c:v>14.0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'WSD-Incentive(2)'!$D$12:$F$12</c:f>
              <c:numCache>
                <c:formatCode>#,##0</c:formatCode>
                <c:ptCount val="3"/>
                <c:pt idx="0">
                  <c:v>10.0</c:v>
                </c:pt>
                <c:pt idx="1">
                  <c:v>19.0</c:v>
                </c:pt>
                <c:pt idx="2">
                  <c:v>19.0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'WSD-Incentive(2)'!$D$13:$F$13</c:f>
              <c:numCache>
                <c:formatCode>#,##0</c:formatCode>
                <c:ptCount val="3"/>
                <c:pt idx="0">
                  <c:v>9.0</c:v>
                </c:pt>
                <c:pt idx="1">
                  <c:v>14.0</c:v>
                </c:pt>
                <c:pt idx="2">
                  <c:v>16.0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'WSD-Incentive(2)'!$D$14:$F$14</c:f>
              <c:numCache>
                <c:formatCode>#,##0</c:formatCode>
                <c:ptCount val="3"/>
                <c:pt idx="0">
                  <c:v>6.0</c:v>
                </c:pt>
                <c:pt idx="1">
                  <c:v>11.0</c:v>
                </c:pt>
                <c:pt idx="2">
                  <c:v>14.0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'WSD-Incentive(2)'!$D$15:$F$15</c:f>
              <c:numCache>
                <c:formatCode>#,##0</c:formatCode>
                <c:ptCount val="3"/>
                <c:pt idx="0">
                  <c:v>10.0</c:v>
                </c:pt>
                <c:pt idx="1">
                  <c:v>12.0</c:v>
                </c:pt>
                <c:pt idx="2">
                  <c:v>16.0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'WSD-Incentive(2)'!$D$16:$F$16</c:f>
              <c:numCache>
                <c:formatCode>#,##0</c:formatCode>
                <c:ptCount val="3"/>
                <c:pt idx="0">
                  <c:v>4.0</c:v>
                </c:pt>
                <c:pt idx="1">
                  <c:v>11.0</c:v>
                </c:pt>
                <c:pt idx="2">
                  <c:v>13.0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'WSD-Incentive(2)'!$D$17:$F$17</c:f>
              <c:numCache>
                <c:formatCode>#,##0</c:formatCode>
                <c:ptCount val="3"/>
                <c:pt idx="0">
                  <c:v>9.0</c:v>
                </c:pt>
                <c:pt idx="1">
                  <c:v>16.0</c:v>
                </c:pt>
                <c:pt idx="2">
                  <c:v>18.0</c:v>
                </c:pt>
              </c:numCache>
            </c:numRef>
          </c:yVal>
        </c:ser>
        <c:ser>
          <c:idx val="10"/>
          <c:order val="10"/>
          <c:spPr>
            <a:ln w="25400">
              <a:solidFill>
                <a:srgbClr val="FF0000"/>
              </a:solidFill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'WSD-Incentive(2)'!$D$7:$F$7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'WSD-Incentive(2)'!$D$19:$F$19</c:f>
              <c:numCache>
                <c:formatCode>0.00</c:formatCode>
                <c:ptCount val="3"/>
                <c:pt idx="0">
                  <c:v>7.8</c:v>
                </c:pt>
                <c:pt idx="1">
                  <c:v>13.7</c:v>
                </c:pt>
                <c:pt idx="2">
                  <c:v>15.4</c:v>
                </c:pt>
              </c:numCache>
            </c:numRef>
          </c:yVal>
        </c:ser>
        <c:axId val="188784344"/>
        <c:axId val="188792296"/>
      </c:scatterChart>
      <c:valAx>
        <c:axId val="188784344"/>
        <c:scaling>
          <c:orientation val="minMax"/>
          <c:max val="27.0"/>
          <c:min val="0.0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Incentive (dollars per word)</a:t>
                </a:r>
              </a:p>
            </c:rich>
          </c:tx>
        </c:title>
        <c:numFmt formatCode="&quot;$&quot;#,##0_);\(&quot;$&quot;#,##0\)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792296"/>
        <c:crosses val="autoZero"/>
        <c:crossBetween val="midCat"/>
      </c:valAx>
      <c:valAx>
        <c:axId val="188792296"/>
        <c:scaling>
          <c:orientation val="minMax"/>
          <c:max val="29.0"/>
          <c:min val="0.0"/>
        </c:scaling>
        <c:axPos val="l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Words Recalled</a:t>
                </a:r>
              </a:p>
            </c:rich>
          </c:tx>
          <c:layout>
            <c:manualLayout>
              <c:xMode val="edge"/>
              <c:yMode val="edge"/>
              <c:x val="0.0017636684303351"/>
              <c:y val="0.269281199005054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784344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75000"/>
      </a:schemeClr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'WSD-Incentive(3)'!$C$7:$E$7</c:f>
              <c:numCache>
                <c:formatCode>#,##0</c:formatCode>
                <c:ptCount val="3"/>
                <c:pt idx="0">
                  <c:v>11.0</c:v>
                </c:pt>
                <c:pt idx="1">
                  <c:v>18.0</c:v>
                </c:pt>
                <c:pt idx="2">
                  <c:v>22.0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'WSD-Incentive(3)'!$C$9:$E$9</c:f>
              <c:numCache>
                <c:formatCode>#,##0</c:formatCode>
                <c:ptCount val="3"/>
                <c:pt idx="0">
                  <c:v>8.0</c:v>
                </c:pt>
                <c:pt idx="1">
                  <c:v>14.0</c:v>
                </c:pt>
                <c:pt idx="2">
                  <c:v>18.0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'WSD-Incentive(3)'!$C$11:$E$11</c:f>
              <c:numCache>
                <c:formatCode>#,##0</c:formatCode>
                <c:ptCount val="3"/>
                <c:pt idx="0">
                  <c:v>0.0</c:v>
                </c:pt>
                <c:pt idx="1">
                  <c:v>6.0</c:v>
                </c:pt>
                <c:pt idx="2">
                  <c:v>10.0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'WSD-Incentive(3)'!$C$13:$E$13</c:f>
              <c:numCache>
                <c:formatCode>#,##0</c:formatCode>
                <c:ptCount val="3"/>
                <c:pt idx="0">
                  <c:v>5.0</c:v>
                </c:pt>
                <c:pt idx="1">
                  <c:v>11.0</c:v>
                </c:pt>
                <c:pt idx="2">
                  <c:v>14.0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'WSD-Incentive(3)'!$C$15:$E$15</c:f>
              <c:numCache>
                <c:formatCode>#,##0</c:formatCode>
                <c:ptCount val="3"/>
                <c:pt idx="0">
                  <c:v>10.0</c:v>
                </c:pt>
                <c:pt idx="1">
                  <c:v>14.0</c:v>
                </c:pt>
                <c:pt idx="2">
                  <c:v>18.0</c:v>
                </c:pt>
              </c:numCache>
            </c:numRef>
          </c:yVal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'WSD-Incentive(3)'!$C$17:$E$17</c:f>
              <c:numCache>
                <c:formatCode>#,##0</c:formatCode>
                <c:ptCount val="3"/>
                <c:pt idx="0">
                  <c:v>8.0</c:v>
                </c:pt>
                <c:pt idx="1">
                  <c:v>15.0</c:v>
                </c:pt>
                <c:pt idx="2">
                  <c:v>19.0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'WSD-Incentive(3)'!$C$19:$E$19</c:f>
              <c:numCache>
                <c:formatCode>#,##0</c:formatCode>
                <c:ptCount val="3"/>
                <c:pt idx="0">
                  <c:v>8.0</c:v>
                </c:pt>
                <c:pt idx="1">
                  <c:v>11.0</c:v>
                </c:pt>
                <c:pt idx="2">
                  <c:v>17.0</c:v>
                </c:pt>
              </c:numCache>
            </c:numRef>
          </c:yVal>
        </c:ser>
        <c:ser>
          <c:idx val="7"/>
          <c:order val="7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'WSD-Incentive(3)'!$C$21:$E$21</c:f>
              <c:numCache>
                <c:formatCode>#,##0</c:formatCode>
                <c:ptCount val="3"/>
                <c:pt idx="0">
                  <c:v>19.0</c:v>
                </c:pt>
                <c:pt idx="1">
                  <c:v>23.0</c:v>
                </c:pt>
                <c:pt idx="2">
                  <c:v>28.0</c:v>
                </c:pt>
              </c:numCache>
            </c:numRef>
          </c:yVal>
        </c:ser>
        <c:ser>
          <c:idx val="8"/>
          <c:order val="8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'WSD-Incentive(3)'!$C$23:$E$23</c:f>
              <c:numCache>
                <c:formatCode>#,##0</c:formatCode>
                <c:ptCount val="3"/>
                <c:pt idx="0">
                  <c:v>6.0</c:v>
                </c:pt>
                <c:pt idx="1">
                  <c:v>11.0</c:v>
                </c:pt>
                <c:pt idx="2">
                  <c:v>15.0</c:v>
                </c:pt>
              </c:numCache>
            </c:numRef>
          </c:yVal>
        </c:ser>
        <c:ser>
          <c:idx val="9"/>
          <c:order val="9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'WSD-Incentive(3)'!$C$25:$E$25</c:f>
              <c:numCache>
                <c:formatCode>#,##0</c:formatCode>
                <c:ptCount val="3"/>
                <c:pt idx="0">
                  <c:v>10.0</c:v>
                </c:pt>
                <c:pt idx="1">
                  <c:v>15.0</c:v>
                </c:pt>
                <c:pt idx="2">
                  <c:v>22.0</c:v>
                </c:pt>
              </c:numCache>
            </c:numRef>
          </c:yVal>
        </c:ser>
        <c:ser>
          <c:idx val="10"/>
          <c:order val="10"/>
          <c:spPr>
            <a:ln w="25400">
              <a:solidFill>
                <a:srgbClr val="FF0000"/>
              </a:solidFill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'WSD-Incentive(3)'!$C$6:$E$6</c:f>
              <c:numCache>
                <c:formatCode>"$"#,##0_);\("$"#,##0\)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25.0</c:v>
                </c:pt>
              </c:numCache>
            </c:numRef>
          </c:xVal>
          <c:yVal>
            <c:numRef>
              <c:f>'WSD-Incentive(3)'!$C$28:$E$28</c:f>
              <c:numCache>
                <c:formatCode>0.00</c:formatCode>
                <c:ptCount val="3"/>
                <c:pt idx="0">
                  <c:v>8.5</c:v>
                </c:pt>
                <c:pt idx="1">
                  <c:v>13.8</c:v>
                </c:pt>
                <c:pt idx="2">
                  <c:v>18.3</c:v>
                </c:pt>
              </c:numCache>
            </c:numRef>
          </c:yVal>
        </c:ser>
        <c:axId val="188871432"/>
        <c:axId val="188879384"/>
      </c:scatterChart>
      <c:valAx>
        <c:axId val="188871432"/>
        <c:scaling>
          <c:orientation val="minMax"/>
          <c:max val="27.0"/>
          <c:min val="0.0"/>
        </c:scaling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Incentive (dollars per word)</a:t>
                </a:r>
              </a:p>
            </c:rich>
          </c:tx>
        </c:title>
        <c:numFmt formatCode="&quot;$&quot;#,##0_);\(&quot;$&quot;#,##0\)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879384"/>
        <c:crosses val="autoZero"/>
        <c:crossBetween val="midCat"/>
      </c:valAx>
      <c:valAx>
        <c:axId val="188879384"/>
        <c:scaling>
          <c:orientation val="minMax"/>
          <c:max val="29.0"/>
          <c:min val="0.0"/>
        </c:scaling>
        <c:axPos val="l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Words Recalled</a:t>
                </a:r>
              </a:p>
            </c:rich>
          </c:tx>
          <c:layout>
            <c:manualLayout>
              <c:xMode val="edge"/>
              <c:yMode val="edge"/>
              <c:x val="0.0017636684303351"/>
              <c:y val="0.269281199005054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8871432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75000"/>
      </a:schemeClr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autoTitleDeleted val="1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correlation</c:v>
          </c:tx>
          <c:spPr>
            <a:ln w="28575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Correlation!$A$16:$A$35</c:f>
              <c:numCache>
                <c:formatCode>#,##0.0</c:formatCode>
                <c:ptCount val="20"/>
                <c:pt idx="0">
                  <c:v>1.8</c:v>
                </c:pt>
                <c:pt idx="1">
                  <c:v>1.8</c:v>
                </c:pt>
                <c:pt idx="2">
                  <c:v>3.1</c:v>
                </c:pt>
                <c:pt idx="3">
                  <c:v>2.7</c:v>
                </c:pt>
                <c:pt idx="4">
                  <c:v>1.6</c:v>
                </c:pt>
                <c:pt idx="5">
                  <c:v>1.2</c:v>
                </c:pt>
                <c:pt idx="6">
                  <c:v>2.7</c:v>
                </c:pt>
                <c:pt idx="7">
                  <c:v>2.9</c:v>
                </c:pt>
                <c:pt idx="8">
                  <c:v>0.6</c:v>
                </c:pt>
                <c:pt idx="9">
                  <c:v>1.8</c:v>
                </c:pt>
                <c:pt idx="10">
                  <c:v>2.7</c:v>
                </c:pt>
                <c:pt idx="11">
                  <c:v>0.2</c:v>
                </c:pt>
                <c:pt idx="12">
                  <c:v>1.5</c:v>
                </c:pt>
                <c:pt idx="13">
                  <c:v>2.7</c:v>
                </c:pt>
                <c:pt idx="14">
                  <c:v>2.2</c:v>
                </c:pt>
                <c:pt idx="15">
                  <c:v>3.3</c:v>
                </c:pt>
                <c:pt idx="16">
                  <c:v>1.9</c:v>
                </c:pt>
                <c:pt idx="17">
                  <c:v>1.8</c:v>
                </c:pt>
                <c:pt idx="18">
                  <c:v>2.2</c:v>
                </c:pt>
                <c:pt idx="19">
                  <c:v>0.8</c:v>
                </c:pt>
              </c:numCache>
            </c:numRef>
          </c:xVal>
          <c:yVal>
            <c:numRef>
              <c:f>Correlation!$B$16:$B$35</c:f>
              <c:numCache>
                <c:formatCode>#,##0.0</c:formatCode>
                <c:ptCount val="20"/>
                <c:pt idx="0">
                  <c:v>214.8165754110538</c:v>
                </c:pt>
                <c:pt idx="1">
                  <c:v>230.3998426678194</c:v>
                </c:pt>
                <c:pt idx="2">
                  <c:v>242.7574876660785</c:v>
                </c:pt>
                <c:pt idx="3">
                  <c:v>262.3704654273768</c:v>
                </c:pt>
                <c:pt idx="4">
                  <c:v>222.9610869207661</c:v>
                </c:pt>
                <c:pt idx="5">
                  <c:v>215.5372933809501</c:v>
                </c:pt>
                <c:pt idx="6">
                  <c:v>242.0590597294046</c:v>
                </c:pt>
                <c:pt idx="7">
                  <c:v>263.5118472890666</c:v>
                </c:pt>
                <c:pt idx="8">
                  <c:v>196.4475553822824</c:v>
                </c:pt>
                <c:pt idx="9">
                  <c:v>225.1386349627364</c:v>
                </c:pt>
                <c:pt idx="10">
                  <c:v>244.6508022162647</c:v>
                </c:pt>
                <c:pt idx="11">
                  <c:v>196.9591414665375</c:v>
                </c:pt>
                <c:pt idx="12">
                  <c:v>225.0411268390574</c:v>
                </c:pt>
                <c:pt idx="13">
                  <c:v>234.3156763760815</c:v>
                </c:pt>
                <c:pt idx="14">
                  <c:v>237.2954498949797</c:v>
                </c:pt>
                <c:pt idx="15">
                  <c:v>251.9984985115397</c:v>
                </c:pt>
                <c:pt idx="16">
                  <c:v>222.7725397854879</c:v>
                </c:pt>
                <c:pt idx="17">
                  <c:v>226.255526094343</c:v>
                </c:pt>
                <c:pt idx="18">
                  <c:v>220.821823975456</c:v>
                </c:pt>
                <c:pt idx="19">
                  <c:v>205.9146368232061</c:v>
                </c:pt>
              </c:numCache>
            </c:numRef>
          </c:yVal>
        </c:ser>
        <c:ser>
          <c:idx val="2"/>
          <c:order val="1"/>
          <c:tx>
            <c:v>Regression line</c:v>
          </c:tx>
          <c:spPr>
            <a:ln w="28575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Correlation!$A$41:$A$42</c:f>
              <c:numCache>
                <c:formatCode>#,##0.00</c:formatCode>
                <c:ptCount val="2"/>
                <c:pt idx="0">
                  <c:v>0.2</c:v>
                </c:pt>
                <c:pt idx="1">
                  <c:v>3.3</c:v>
                </c:pt>
              </c:numCache>
            </c:numRef>
          </c:xVal>
          <c:yVal>
            <c:numRef>
              <c:f>Correlation!$B$41:$B$42</c:f>
              <c:numCache>
                <c:formatCode>#,##0.0</c:formatCode>
                <c:ptCount val="2"/>
                <c:pt idx="0">
                  <c:v>193.3390754131256</c:v>
                </c:pt>
                <c:pt idx="1">
                  <c:v>255.7969639745264</c:v>
                </c:pt>
              </c:numCache>
            </c:numRef>
          </c:yVal>
        </c:ser>
        <c:axId val="464411016"/>
        <c:axId val="464428808"/>
      </c:scatterChart>
      <c:valAx>
        <c:axId val="464411016"/>
        <c:scaling>
          <c:orientation val="minMax"/>
          <c:max val="5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X</a:t>
                </a:r>
                <a:r>
                  <a:rPr lang="en-US" sz="2000" b="0" baseline="0"/>
                  <a:t> = Amount of Alcohol (oz)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42447308098775"/>
              <c:y val="0.923627654966508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464428808"/>
        <c:crosses val="autoZero"/>
        <c:crossBetween val="midCat"/>
        <c:majorUnit val="1.0"/>
        <c:minorUnit val="0.03"/>
      </c:valAx>
      <c:valAx>
        <c:axId val="464428808"/>
        <c:scaling>
          <c:orientation val="minMax"/>
          <c:max val="300.0"/>
          <c:min val="16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Y = Reaction Time</a:t>
                </a:r>
                <a:r>
                  <a:rPr lang="en-US" sz="2000" b="0" baseline="0"/>
                  <a:t> (ms)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noFill/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64411016"/>
        <c:crossesAt val="0.0"/>
        <c:crossBetween val="midCat"/>
        <c:majorUnit val="2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000"/>
              <a:t>Data</a:t>
            </a:r>
          </a:p>
        </c:rich>
      </c:tx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'PC-"Useless"'!$B$21</c:f>
                <c:numCache>
                  <c:formatCode>General</c:formatCode>
                  <c:ptCount val="1"/>
                  <c:pt idx="0">
                    <c:v>2.951132919014974</c:v>
                  </c:pt>
                </c:numCache>
              </c:numRef>
            </c:plus>
            <c:minus>
              <c:numRef>
                <c:f>'PC-"Useless"'!$B$21</c:f>
                <c:numCache>
                  <c:formatCode>General</c:formatCode>
                  <c:ptCount val="1"/>
                  <c:pt idx="0">
                    <c:v>2.951132919014974</c:v>
                  </c:pt>
                </c:numCache>
              </c:numRef>
            </c:minus>
          </c:errBars>
          <c:xVal>
            <c:numRef>
              <c:f>'PC-"Useless"'!$B$2:$E$2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'PC-"Useless"'!$B$14:$E$14</c:f>
              <c:numCache>
                <c:formatCode>#,##0.0</c:formatCode>
                <c:ptCount val="4"/>
                <c:pt idx="0">
                  <c:v>24.2</c:v>
                </c:pt>
                <c:pt idx="1">
                  <c:v>22.2</c:v>
                </c:pt>
                <c:pt idx="2">
                  <c:v>21.0</c:v>
                </c:pt>
                <c:pt idx="3">
                  <c:v>23.4</c:v>
                </c:pt>
              </c:numCache>
            </c:numRef>
          </c:yVal>
        </c:ser>
        <c:axId val="464467144"/>
        <c:axId val="464377832"/>
      </c:scatterChart>
      <c:valAx>
        <c:axId val="464467144"/>
        <c:scaling>
          <c:orientation val="minMax"/>
          <c:max val="4.5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377832"/>
        <c:crossesAt val="0.0"/>
        <c:crossBetween val="midCat"/>
        <c:majorUnit val="1.0"/>
        <c:minorUnit val="0.03"/>
      </c:valAx>
      <c:valAx>
        <c:axId val="464377832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467144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 (diff)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'WSD-Incentive'!$G$2</c:f>
              <c:numCache>
                <c:formatCode>#,##0.00</c:formatCode>
                <c:ptCount val="1"/>
              </c:numCache>
            </c:numRef>
          </c:cat>
          <c:val>
            <c:numRef>
              <c:f>'WSD-Incentive'!$H$2</c:f>
              <c:numCache>
                <c:formatCode>#,##0.00</c:formatCode>
                <c:ptCount val="1"/>
                <c:pt idx="0">
                  <c:v>3.0</c:v>
                </c:pt>
              </c:numCache>
            </c:numRef>
          </c:val>
        </c:ser>
        <c:ser>
          <c:idx val="2"/>
          <c:order val="1"/>
          <c:tx>
            <c:v>M (diff)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'WSD-Incentive'!$K$2</c:f>
                <c:numCache>
                  <c:formatCode>General</c:formatCode>
                  <c:ptCount val="1"/>
                  <c:pt idx="0">
                    <c:v>1.036650641121663</c:v>
                  </c:pt>
                </c:numCache>
              </c:numRef>
            </c:plus>
            <c:minus>
              <c:numRef>
                <c:f>'WSD-Incentive'!$K$2</c:f>
                <c:numCache>
                  <c:formatCode>General</c:formatCode>
                  <c:ptCount val="1"/>
                  <c:pt idx="0">
                    <c:v>1.036650641121663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numRef>
              <c:f>'WSD-Incentive'!$G$2</c:f>
              <c:numCache>
                <c:formatCode>#,##0.00</c:formatCode>
                <c:ptCount val="1"/>
              </c:numCache>
            </c:numRef>
          </c:cat>
          <c:val>
            <c:numRef>
              <c:f>'WSD-Incentive'!$I$2</c:f>
              <c:numCache>
                <c:formatCode>#,##0.00</c:formatCode>
                <c:ptCount val="1"/>
                <c:pt idx="0">
                  <c:v>3.1</c:v>
                </c:pt>
              </c:numCache>
            </c:numRef>
          </c:val>
        </c:ser>
        <c:axId val="461685576"/>
        <c:axId val="461691368"/>
      </c:barChart>
      <c:catAx>
        <c:axId val="4616855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 Mu (diff)     M(diff)</a:t>
                </a:r>
              </a:p>
            </c:rich>
          </c:tx>
          <c:layout>
            <c:manualLayout>
              <c:xMode val="edge"/>
              <c:yMode val="edge"/>
              <c:x val="0.323489742353634"/>
              <c:y val="0.902059496567506"/>
            </c:manualLayout>
          </c:layout>
        </c:title>
        <c:numFmt formatCode="#,##0.00" sourceLinked="1"/>
        <c:tickLblPos val="nextTo"/>
        <c:crossAx val="461691368"/>
        <c:crosses val="autoZero"/>
        <c:auto val="1"/>
        <c:lblAlgn val="ctr"/>
        <c:lblOffset val="100"/>
      </c:catAx>
      <c:valAx>
        <c:axId val="461691368"/>
        <c:scaling>
          <c:orientation val="minMax"/>
          <c:max val="6.0"/>
          <c:min val="-1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Difference</a:t>
                </a:r>
              </a:p>
            </c:rich>
          </c:tx>
        </c:title>
        <c:numFmt formatCode="#,##0" sourceLinked="0"/>
        <c:tickLblPos val="nextTo"/>
        <c:crossAx val="461685576"/>
        <c:crosses val="autoZero"/>
        <c:crossBetween val="between"/>
        <c:majorUnit val="1.0"/>
      </c:valAx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wj's-muj's correlation</a:t>
            </a:r>
          </a:p>
        </c:rich>
      </c:tx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'PC-"Useless"'!$B$26:$E$26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'PC-"Useless"'!$B$27:$E$27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</c:trendline>
          <c:xVal>
            <c:numRef>
              <c:f>'PC-"Useless"'!$B$27:$E$27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'PC-"Useless"'!$B$26:$E$26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yVal>
        </c:ser>
        <c:axId val="464190408"/>
        <c:axId val="464198648"/>
      </c:scatterChart>
      <c:valAx>
        <c:axId val="464190408"/>
        <c:scaling>
          <c:orientation val="minMax"/>
          <c:max val="3.5"/>
          <c:min val="-3.5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526096779700946"/>
              <c:y val="0.892530650299594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198648"/>
        <c:crossesAt val="0.0"/>
        <c:crossBetween val="midCat"/>
        <c:majorUnit val="1.0"/>
        <c:minorUnit val="0.03"/>
      </c:valAx>
      <c:valAx>
        <c:axId val="464198648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190408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Data</a:t>
            </a:r>
          </a:p>
        </c:rich>
      </c:tx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'PC-"Useless"'!$B$21</c:f>
                <c:numCache>
                  <c:formatCode>General</c:formatCode>
                  <c:ptCount val="1"/>
                  <c:pt idx="0">
                    <c:v>2.951132919014974</c:v>
                  </c:pt>
                </c:numCache>
              </c:numRef>
            </c:plus>
            <c:minus>
              <c:numRef>
                <c:f>'PC-"Useless"'!$B$21</c:f>
                <c:numCache>
                  <c:formatCode>General</c:formatCode>
                  <c:ptCount val="1"/>
                  <c:pt idx="0">
                    <c:v>2.951132919014974</c:v>
                  </c:pt>
                </c:numCache>
              </c:numRef>
            </c:minus>
          </c:errBars>
          <c:xVal>
            <c:numRef>
              <c:f>'PC-"Useless"'!$B$25:$E$25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'PC-"Useless"'!$B$37:$E$37</c:f>
              <c:numCache>
                <c:formatCode>#,##0.0</c:formatCode>
                <c:ptCount val="4"/>
                <c:pt idx="0">
                  <c:v>14.2</c:v>
                </c:pt>
                <c:pt idx="1">
                  <c:v>20.2</c:v>
                </c:pt>
                <c:pt idx="2">
                  <c:v>24.8</c:v>
                </c:pt>
                <c:pt idx="3">
                  <c:v>31.6</c:v>
                </c:pt>
              </c:numCache>
            </c:numRef>
          </c:yVal>
        </c:ser>
        <c:axId val="464474728"/>
        <c:axId val="464248872"/>
      </c:scatterChart>
      <c:valAx>
        <c:axId val="464474728"/>
        <c:scaling>
          <c:orientation val="minMax"/>
          <c:max val="4.5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248872"/>
        <c:crossesAt val="0.0"/>
        <c:crossBetween val="midCat"/>
        <c:majorUnit val="1.0"/>
        <c:minorUnit val="0.03"/>
      </c:valAx>
      <c:valAx>
        <c:axId val="464248872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474728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wj's-muj's correlation</a:t>
            </a:r>
          </a:p>
        </c:rich>
      </c:tx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'PC-"Useless"'!$B$26:$E$26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'PC-"Useless"'!$B$27:$E$27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</c:trendline>
          <c:xVal>
            <c:numRef>
              <c:f>'PC-"Useless"'!$B$4:$E$4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'PC-"Useless"'!$B$3:$E$3</c:f>
              <c:numCache>
                <c:formatCode>#,##0</c:formatCode>
                <c:ptCount val="4"/>
                <c:pt idx="0">
                  <c:v>25.0</c:v>
                </c:pt>
                <c:pt idx="1">
                  <c:v>20.0</c:v>
                </c:pt>
                <c:pt idx="2">
                  <c:v>20.0</c:v>
                </c:pt>
                <c:pt idx="3">
                  <c:v>25.0</c:v>
                </c:pt>
              </c:numCache>
            </c:numRef>
          </c:yVal>
        </c:ser>
        <c:axId val="464286104"/>
        <c:axId val="464294280"/>
      </c:scatterChart>
      <c:valAx>
        <c:axId val="464286104"/>
        <c:scaling>
          <c:orientation val="minMax"/>
          <c:max val="3.5"/>
          <c:min val="-3.5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526096779700946"/>
              <c:y val="0.892530650299594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294280"/>
        <c:crossesAt val="0.0"/>
        <c:crossBetween val="midCat"/>
        <c:majorUnit val="1.0"/>
        <c:minorUnit val="0.03"/>
      </c:valAx>
      <c:valAx>
        <c:axId val="464294280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4286104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65271019518488"/>
          <c:y val="0.0204527559055118"/>
        </c:manualLayout>
      </c:layout>
    </c:title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10.0</c:v>
                </c:pt>
                <c:pt idx="1">
                  <c:v>13.0</c:v>
                </c:pt>
              </c:numCache>
            </c:numRef>
          </c:yVal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'BSD-Incentive'!$K$2:$K$3</c:f>
                <c:numCache>
                  <c:formatCode>General</c:formatCode>
                  <c:ptCount val="2"/>
                  <c:pt idx="0">
                    <c:v>3.848602060264447</c:v>
                  </c:pt>
                  <c:pt idx="1">
                    <c:v>3.848602060264447</c:v>
                  </c:pt>
                </c:numCache>
              </c:numRef>
            </c:plus>
            <c:minus>
              <c:numRef>
                <c:f>'BSD-Incentive'!$K$2:$K$3</c:f>
                <c:numCache>
                  <c:formatCode>General</c:formatCode>
                  <c:ptCount val="2"/>
                  <c:pt idx="0">
                    <c:v>3.848602060264447</c:v>
                  </c:pt>
                  <c:pt idx="1">
                    <c:v>3.848602060264447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9.875</c:v>
                </c:pt>
                <c:pt idx="1">
                  <c:v>13.375</c:v>
                </c:pt>
              </c:numCache>
            </c:numRef>
          </c:yVal>
        </c:ser>
        <c:axId val="461488552"/>
        <c:axId val="461494760"/>
      </c:scatterChart>
      <c:valAx>
        <c:axId val="461488552"/>
        <c:scaling>
          <c:orientation val="minMax"/>
          <c:max val="11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461494760"/>
        <c:crosses val="autoZero"/>
        <c:crossBetween val="midCat"/>
        <c:majorUnit val="5.0"/>
        <c:minorUnit val="0.03"/>
      </c:valAx>
      <c:valAx>
        <c:axId val="461494760"/>
        <c:scaling>
          <c:orientation val="minMax"/>
          <c:max val="24.0"/>
          <c:min val="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61488552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266192595490781"/>
          <c:y val="0.0130514720142741"/>
        </c:manualLayout>
      </c:layout>
    </c:title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10.0</c:v>
                </c:pt>
                <c:pt idx="1">
                  <c:v>13.0</c:v>
                </c:pt>
              </c:numCache>
            </c:numRef>
          </c:yVal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'BSD-Incentive'!$L$2:$L$3</c:f>
                <c:numCache>
                  <c:formatCode>General</c:formatCode>
                  <c:ptCount val="2"/>
                  <c:pt idx="0">
                    <c:v>1.133813815697197</c:v>
                  </c:pt>
                  <c:pt idx="1">
                    <c:v>4.166646893147595</c:v>
                  </c:pt>
                </c:numCache>
              </c:numRef>
            </c:plus>
            <c:minus>
              <c:numRef>
                <c:f>'BSD-Incentive'!$L$2:$L$3</c:f>
                <c:numCache>
                  <c:formatCode>General</c:formatCode>
                  <c:ptCount val="2"/>
                  <c:pt idx="0">
                    <c:v>1.133813815697197</c:v>
                  </c:pt>
                  <c:pt idx="1">
                    <c:v>4.166646893147595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9.875</c:v>
                </c:pt>
                <c:pt idx="1">
                  <c:v>13.375</c:v>
                </c:pt>
              </c:numCache>
            </c:numRef>
          </c:yVal>
        </c:ser>
        <c:axId val="189753560"/>
        <c:axId val="189747592"/>
      </c:scatterChart>
      <c:valAx>
        <c:axId val="189753560"/>
        <c:scaling>
          <c:orientation val="minMax"/>
          <c:max val="11.0"/>
          <c:min val="0.0"/>
        </c:scaling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189747592"/>
        <c:crosses val="autoZero"/>
        <c:crossBetween val="midCat"/>
        <c:majorUnit val="5.0"/>
        <c:minorUnit val="0.03"/>
      </c:valAx>
      <c:valAx>
        <c:axId val="189747592"/>
        <c:scaling>
          <c:orientation val="minMax"/>
          <c:max val="24.0"/>
          <c:min val="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</c:title>
        <c:numFmt formatCode="#,##0" sourceLinked="0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89753560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Assume HOV</a:t>
            </a:r>
          </a:p>
        </c:rich>
      </c:tx>
    </c:title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errBars>
            <c:errBarType val="both"/>
            <c:errValType val="cust"/>
            <c:plus>
              <c:numRef>
                <c:f>'BSD-unequal n''s'!$K$2:$K$3</c:f>
                <c:numCache>
                  <c:formatCode>General</c:formatCode>
                  <c:ptCount val="2"/>
                  <c:pt idx="0">
                    <c:v>3.056085540605</c:v>
                  </c:pt>
                  <c:pt idx="1">
                    <c:v>4.321957619295904</c:v>
                  </c:pt>
                </c:numCache>
              </c:numRef>
            </c:plus>
            <c:minus>
              <c:numRef>
                <c:f>'BSD-unequal n''s'!$K$2:$K$3</c:f>
                <c:numCache>
                  <c:formatCode>General</c:formatCode>
                  <c:ptCount val="2"/>
                  <c:pt idx="0">
                    <c:v>3.056085540605</c:v>
                  </c:pt>
                  <c:pt idx="1">
                    <c:v>4.321957619295904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n''s'!$J$2:$J$3</c:f>
              <c:numCache>
                <c:formatCode>#,##0.00</c:formatCode>
                <c:ptCount val="2"/>
                <c:pt idx="0">
                  <c:v>10.75</c:v>
                </c:pt>
                <c:pt idx="1">
                  <c:v>11.5</c:v>
                </c:pt>
              </c:numCache>
            </c:numRef>
          </c:val>
        </c:ser>
        <c:axId val="189657624"/>
        <c:axId val="189664840"/>
      </c:barChart>
      <c:catAx>
        <c:axId val="189657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</c:title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9664840"/>
        <c:crosses val="autoZero"/>
        <c:auto val="1"/>
        <c:lblAlgn val="ctr"/>
        <c:lblOffset val="100"/>
      </c:catAx>
      <c:valAx>
        <c:axId val="189664840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115745563152568"/>
              <c:y val="0.18664199596297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9657624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Don't assume HOV</a:t>
            </a:r>
          </a:p>
        </c:rich>
      </c:tx>
    </c:title>
    <c:plotArea>
      <c:layout>
        <c:manualLayout>
          <c:layoutTarget val="inner"/>
          <c:xMode val="edge"/>
          <c:yMode val="edge"/>
          <c:x val="0.205284362664216"/>
          <c:y val="0.103832648909317"/>
          <c:w val="0.7416652394578"/>
          <c:h val="0.73142071355913"/>
        </c:manualLayout>
      </c:layout>
      <c:barChart>
        <c:barDir val="col"/>
        <c:grouping val="clustered"/>
        <c:ser>
          <c:idx val="0"/>
          <c:order val="0"/>
          <c:tx>
            <c:v>muj's</c:v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n''s'!$I$2:$I$3</c:f>
              <c:numCache>
                <c:formatCode>#,##0.00</c:formatCode>
                <c:ptCount val="2"/>
                <c:pt idx="0">
                  <c:v>9.0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v>Mj's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errBars>
            <c:errBarType val="both"/>
            <c:errValType val="cust"/>
            <c:plus>
              <c:numRef>
                <c:f>'BSD-unequal n''s'!$L$2:$L$3</c:f>
                <c:numCache>
                  <c:formatCode>General</c:formatCode>
                  <c:ptCount val="2"/>
                  <c:pt idx="0">
                    <c:v>3.483022377890412</c:v>
                  </c:pt>
                  <c:pt idx="1">
                    <c:v>4.947313833630294</c:v>
                  </c:pt>
                </c:numCache>
              </c:numRef>
            </c:plus>
            <c:minus>
              <c:numRef>
                <c:f>'BSD-unequal n''s'!$L$2:$L$3</c:f>
                <c:numCache>
                  <c:formatCode>General</c:formatCode>
                  <c:ptCount val="2"/>
                  <c:pt idx="0">
                    <c:v>3.483022377890412</c:v>
                  </c:pt>
                  <c:pt idx="1">
                    <c:v>4.947313833630294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strRef>
              <c:f>'BSD-unequal n''s'!$H$2:$H$3</c:f>
              <c:strCache>
                <c:ptCount val="2"/>
                <c:pt idx="0">
                  <c:v>Control</c:v>
                </c:pt>
                <c:pt idx="1">
                  <c:v>Rotated</c:v>
                </c:pt>
              </c:strCache>
            </c:strRef>
          </c:cat>
          <c:val>
            <c:numRef>
              <c:f>'BSD-unequal n''s'!$J$2:$J$3</c:f>
              <c:numCache>
                <c:formatCode>#,##0.00</c:formatCode>
                <c:ptCount val="2"/>
                <c:pt idx="0">
                  <c:v>10.75</c:v>
                </c:pt>
                <c:pt idx="1">
                  <c:v>11.5</c:v>
                </c:pt>
              </c:numCache>
            </c:numRef>
          </c:val>
        </c:ser>
        <c:axId val="189705272"/>
        <c:axId val="189712440"/>
      </c:barChart>
      <c:catAx>
        <c:axId val="189705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Condition</a:t>
                </a:r>
              </a:p>
            </c:rich>
          </c:tx>
        </c:title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89712440"/>
        <c:crosses val="autoZero"/>
        <c:auto val="1"/>
        <c:lblAlgn val="ctr"/>
        <c:lblOffset val="100"/>
      </c:catAx>
      <c:valAx>
        <c:axId val="189712440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Mean</a:t>
                </a:r>
                <a:r>
                  <a:rPr lang="en-US" sz="2000" baseline="0"/>
                  <a:t> n</a:t>
                </a:r>
                <a:r>
                  <a:rPr lang="en-US" sz="2000"/>
                  <a:t>umber of words recalled</a:t>
                </a:r>
              </a:p>
            </c:rich>
          </c:tx>
          <c:layout>
            <c:manualLayout>
              <c:xMode val="edge"/>
              <c:yMode val="edge"/>
              <c:x val="0.00218976132656315"/>
              <c:y val="0.19426332173594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89705272"/>
        <c:crosses val="autoZero"/>
        <c:crossBetween val="between"/>
        <c:majorUnit val="5.0"/>
      </c:valAx>
    </c:plotArea>
    <c:legend>
      <c:legendPos val="t"/>
      <c:layout>
        <c:manualLayout>
          <c:xMode val="edge"/>
          <c:yMode val="edge"/>
          <c:x val="0.320747300486643"/>
          <c:y val="0.112081339712919"/>
          <c:w val="0.544827586206897"/>
          <c:h val="0.081023257509478"/>
        </c:manualLayout>
      </c:layout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ANOVA'!$S$3:$S$6</c:f>
                <c:numCache>
                  <c:formatCode>General</c:formatCode>
                  <c:ptCount val="4"/>
                  <c:pt idx="0">
                    <c:v>4.7803746668892</c:v>
                  </c:pt>
                  <c:pt idx="1">
                    <c:v>4.7803746668892</c:v>
                  </c:pt>
                  <c:pt idx="2">
                    <c:v>4.7803746668892</c:v>
                  </c:pt>
                  <c:pt idx="3">
                    <c:v>4.7803746668892</c:v>
                  </c:pt>
                </c:numCache>
              </c:numRef>
            </c:plus>
            <c:minus>
              <c:numRef>
                <c:f>'Basic ANOVA'!$S$3:$S$6</c:f>
                <c:numCache>
                  <c:formatCode>General</c:formatCode>
                  <c:ptCount val="4"/>
                  <c:pt idx="0">
                    <c:v>4.7803746668892</c:v>
                  </c:pt>
                  <c:pt idx="1">
                    <c:v>4.7803746668892</c:v>
                  </c:pt>
                  <c:pt idx="2">
                    <c:v>4.7803746668892</c:v>
                  </c:pt>
                  <c:pt idx="3">
                    <c:v>4.7803746668892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94.0</c:v>
                </c:pt>
                <c:pt idx="1">
                  <c:v>81.4</c:v>
                </c:pt>
                <c:pt idx="2">
                  <c:v>69.8</c:v>
                </c:pt>
                <c:pt idx="3">
                  <c:v>63.8</c:v>
                </c:pt>
              </c:numCache>
            </c:numRef>
          </c:yVal>
        </c:ser>
        <c:axId val="189569336"/>
        <c:axId val="189545896"/>
      </c:scatterChart>
      <c:valAx>
        <c:axId val="189569336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545896"/>
        <c:crosses val="autoZero"/>
        <c:crossBetween val="midCat"/>
        <c:majorUnit val="15.0"/>
        <c:minorUnit val="0.03"/>
      </c:valAx>
      <c:valAx>
        <c:axId val="18954589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56933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337524117403397"/>
          <c:y val="0.0396793612219312"/>
        </c:manualLayout>
      </c:layout>
    </c:title>
    <c:plotArea>
      <c:layout>
        <c:manualLayout>
          <c:layoutTarget val="inner"/>
          <c:xMode val="edge"/>
          <c:yMode val="edge"/>
          <c:x val="0.204245453414898"/>
          <c:y val="0.140901222345227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ANOVA'!$Q$3:$Q$6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'Basic ANOVA'!$T$3:$T$6</c:f>
                <c:numCache>
                  <c:formatCode>General</c:formatCode>
                  <c:ptCount val="4"/>
                  <c:pt idx="0">
                    <c:v>6.57026830193421</c:v>
                  </c:pt>
                  <c:pt idx="1">
                    <c:v>1.883076688243698</c:v>
                  </c:pt>
                  <c:pt idx="2">
                    <c:v>5.2238502918325</c:v>
                  </c:pt>
                  <c:pt idx="3">
                    <c:v>9.098949022002193</c:v>
                  </c:pt>
                </c:numCache>
              </c:numRef>
            </c:plus>
            <c:minus>
              <c:numRef>
                <c:f>'Basic ANOVA'!$T$3:$T$6</c:f>
                <c:numCache>
                  <c:formatCode>General</c:formatCode>
                  <c:ptCount val="4"/>
                  <c:pt idx="0">
                    <c:v>6.57026830193421</c:v>
                  </c:pt>
                  <c:pt idx="1">
                    <c:v>1.883076688243698</c:v>
                  </c:pt>
                  <c:pt idx="2">
                    <c:v>5.2238502918325</c:v>
                  </c:pt>
                  <c:pt idx="3">
                    <c:v>9.098949022002193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'Basic ANOVA'!$P$3:$P$6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'Basic ANOVA'!$R$3:$R$6</c:f>
              <c:numCache>
                <c:formatCode>#,##0.0</c:formatCode>
                <c:ptCount val="4"/>
                <c:pt idx="0">
                  <c:v>94.0</c:v>
                </c:pt>
                <c:pt idx="1">
                  <c:v>81.4</c:v>
                </c:pt>
                <c:pt idx="2">
                  <c:v>69.8</c:v>
                </c:pt>
                <c:pt idx="3">
                  <c:v>63.8</c:v>
                </c:pt>
              </c:numCache>
            </c:numRef>
          </c:yVal>
        </c:ser>
        <c:axId val="189532648"/>
        <c:axId val="189507176"/>
      </c:scatterChart>
      <c:valAx>
        <c:axId val="189532648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507176"/>
        <c:crosses val="autoZero"/>
        <c:crossBetween val="midCat"/>
        <c:majorUnit val="15.0"/>
        <c:minorUnit val="0.03"/>
      </c:valAx>
      <c:valAx>
        <c:axId val="18950717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8953264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84773850202"/>
          <c:y val="0.156560202617973"/>
          <c:w val="0.329120845498027"/>
          <c:h val="0.0613533657588023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Cond 4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'ANOVA H0 True, False'!$S$7:$S$55</c:f>
              <c:numCache>
                <c:formatCode>#,##0.00</c:formatCode>
                <c:ptCount val="49"/>
                <c:pt idx="0">
                  <c:v>54.63343685400051</c:v>
                </c:pt>
                <c:pt idx="1">
                  <c:v>54.85248024771477</c:v>
                </c:pt>
                <c:pt idx="2">
                  <c:v>55.07152364142904</c:v>
                </c:pt>
                <c:pt idx="3">
                  <c:v>55.2905670351433</c:v>
                </c:pt>
                <c:pt idx="4">
                  <c:v>55.50961042885757</c:v>
                </c:pt>
                <c:pt idx="5">
                  <c:v>55.72865382257183</c:v>
                </c:pt>
                <c:pt idx="6">
                  <c:v>55.9476972162861</c:v>
                </c:pt>
                <c:pt idx="7">
                  <c:v>56.16674061000037</c:v>
                </c:pt>
                <c:pt idx="8">
                  <c:v>56.38578400371463</c:v>
                </c:pt>
                <c:pt idx="9">
                  <c:v>56.6048273974289</c:v>
                </c:pt>
                <c:pt idx="10">
                  <c:v>56.82387079114316</c:v>
                </c:pt>
                <c:pt idx="11">
                  <c:v>57.04291418485743</c:v>
                </c:pt>
                <c:pt idx="12">
                  <c:v>57.2619575785717</c:v>
                </c:pt>
                <c:pt idx="13">
                  <c:v>57.48100097228596</c:v>
                </c:pt>
                <c:pt idx="14">
                  <c:v>57.70004436600023</c:v>
                </c:pt>
                <c:pt idx="15">
                  <c:v>57.91908775971449</c:v>
                </c:pt>
                <c:pt idx="16">
                  <c:v>58.13813115342875</c:v>
                </c:pt>
                <c:pt idx="17">
                  <c:v>58.35717454714302</c:v>
                </c:pt>
                <c:pt idx="18">
                  <c:v>58.5762179408573</c:v>
                </c:pt>
                <c:pt idx="19">
                  <c:v>58.79526133457155</c:v>
                </c:pt>
                <c:pt idx="20">
                  <c:v>59.01430472828582</c:v>
                </c:pt>
                <c:pt idx="21">
                  <c:v>59.23334812200008</c:v>
                </c:pt>
                <c:pt idx="22">
                  <c:v>59.45239151571435</c:v>
                </c:pt>
                <c:pt idx="23">
                  <c:v>59.67143490942862</c:v>
                </c:pt>
                <c:pt idx="24">
                  <c:v>59.89047830314288</c:v>
                </c:pt>
                <c:pt idx="25">
                  <c:v>60.10952169685715</c:v>
                </c:pt>
                <c:pt idx="26">
                  <c:v>60.32856509057141</c:v>
                </c:pt>
                <c:pt idx="27">
                  <c:v>60.54760848428568</c:v>
                </c:pt>
                <c:pt idx="28">
                  <c:v>60.76665187799994</c:v>
                </c:pt>
                <c:pt idx="29">
                  <c:v>60.98569527171421</c:v>
                </c:pt>
                <c:pt idx="30">
                  <c:v>61.20473866542848</c:v>
                </c:pt>
                <c:pt idx="31">
                  <c:v>61.42378205914274</c:v>
                </c:pt>
                <c:pt idx="32">
                  <c:v>61.64282545285701</c:v>
                </c:pt>
                <c:pt idx="33">
                  <c:v>61.86186884657127</c:v>
                </c:pt>
                <c:pt idx="34">
                  <c:v>62.08091224028554</c:v>
                </c:pt>
                <c:pt idx="35">
                  <c:v>62.2999556339998</c:v>
                </c:pt>
                <c:pt idx="36">
                  <c:v>62.51899902771407</c:v>
                </c:pt>
                <c:pt idx="37">
                  <c:v>62.73804242142834</c:v>
                </c:pt>
                <c:pt idx="38">
                  <c:v>62.95708581514261</c:v>
                </c:pt>
                <c:pt idx="39">
                  <c:v>63.17612920885687</c:v>
                </c:pt>
                <c:pt idx="40">
                  <c:v>63.39517260257113</c:v>
                </c:pt>
                <c:pt idx="41">
                  <c:v>63.6142159962854</c:v>
                </c:pt>
                <c:pt idx="42">
                  <c:v>63.83325938999967</c:v>
                </c:pt>
                <c:pt idx="43">
                  <c:v>64.05230278371393</c:v>
                </c:pt>
                <c:pt idx="44">
                  <c:v>64.27134617742819</c:v>
                </c:pt>
                <c:pt idx="45">
                  <c:v>64.49038957114244</c:v>
                </c:pt>
                <c:pt idx="46">
                  <c:v>64.7094329648567</c:v>
                </c:pt>
                <c:pt idx="47">
                  <c:v>64.92847635857096</c:v>
                </c:pt>
                <c:pt idx="48">
                  <c:v>65.14751975228521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1"/>
          <c:order val="1"/>
          <c:tx>
            <c:v>Cond 3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xVal>
            <c:numRef>
              <c:f>'ANOVA H0 True, False'!$T$7:$T$55</c:f>
              <c:numCache>
                <c:formatCode>#,##0.00</c:formatCode>
                <c:ptCount val="49"/>
                <c:pt idx="0">
                  <c:v>64.63343685400051</c:v>
                </c:pt>
                <c:pt idx="1">
                  <c:v>64.85248024771477</c:v>
                </c:pt>
                <c:pt idx="2">
                  <c:v>65.07152364142902</c:v>
                </c:pt>
                <c:pt idx="3">
                  <c:v>65.29056703514328</c:v>
                </c:pt>
                <c:pt idx="4">
                  <c:v>65.50961042885754</c:v>
                </c:pt>
                <c:pt idx="5">
                  <c:v>65.7286538225718</c:v>
                </c:pt>
                <c:pt idx="6">
                  <c:v>65.94769721628605</c:v>
                </c:pt>
                <c:pt idx="7">
                  <c:v>66.16674061000032</c:v>
                </c:pt>
                <c:pt idx="8">
                  <c:v>66.38578400371458</c:v>
                </c:pt>
                <c:pt idx="9">
                  <c:v>66.60482739742883</c:v>
                </c:pt>
                <c:pt idx="10">
                  <c:v>66.82387079114309</c:v>
                </c:pt>
                <c:pt idx="11">
                  <c:v>67.04291418485735</c:v>
                </c:pt>
                <c:pt idx="12">
                  <c:v>67.26195757857161</c:v>
                </c:pt>
                <c:pt idx="13">
                  <c:v>67.48100097228587</c:v>
                </c:pt>
                <c:pt idx="14">
                  <c:v>67.70004436600013</c:v>
                </c:pt>
                <c:pt idx="15">
                  <c:v>67.91908775971438</c:v>
                </c:pt>
                <c:pt idx="16">
                  <c:v>68.13813115342865</c:v>
                </c:pt>
                <c:pt idx="17">
                  <c:v>68.3571745471429</c:v>
                </c:pt>
                <c:pt idx="18">
                  <c:v>68.57621794085716</c:v>
                </c:pt>
                <c:pt idx="19">
                  <c:v>68.79526133457142</c:v>
                </c:pt>
                <c:pt idx="20">
                  <c:v>69.01430472828567</c:v>
                </c:pt>
                <c:pt idx="21">
                  <c:v>69.23334812199994</c:v>
                </c:pt>
                <c:pt idx="22">
                  <c:v>69.4523915157142</c:v>
                </c:pt>
                <c:pt idx="23">
                  <c:v>69.67143490942846</c:v>
                </c:pt>
                <c:pt idx="24">
                  <c:v>69.89047830314271</c:v>
                </c:pt>
                <c:pt idx="25">
                  <c:v>70.10952169685697</c:v>
                </c:pt>
                <c:pt idx="26">
                  <c:v>70.32856509057123</c:v>
                </c:pt>
                <c:pt idx="27">
                  <c:v>70.5476084842855</c:v>
                </c:pt>
                <c:pt idx="28">
                  <c:v>70.76665187799975</c:v>
                </c:pt>
                <c:pt idx="29">
                  <c:v>70.985695271714</c:v>
                </c:pt>
                <c:pt idx="30">
                  <c:v>71.20473866542827</c:v>
                </c:pt>
                <c:pt idx="31">
                  <c:v>71.42378205914252</c:v>
                </c:pt>
                <c:pt idx="32">
                  <c:v>71.64282545285678</c:v>
                </c:pt>
                <c:pt idx="33">
                  <c:v>71.86186884657104</c:v>
                </c:pt>
                <c:pt idx="34">
                  <c:v>72.0809122402853</c:v>
                </c:pt>
                <c:pt idx="35">
                  <c:v>72.29995563399955</c:v>
                </c:pt>
                <c:pt idx="36">
                  <c:v>72.51899902771381</c:v>
                </c:pt>
                <c:pt idx="37">
                  <c:v>72.73804242142808</c:v>
                </c:pt>
                <c:pt idx="38">
                  <c:v>72.95708581514233</c:v>
                </c:pt>
                <c:pt idx="39">
                  <c:v>73.17612920885659</c:v>
                </c:pt>
                <c:pt idx="40">
                  <c:v>73.39517260257085</c:v>
                </c:pt>
                <c:pt idx="41">
                  <c:v>73.6142159962851</c:v>
                </c:pt>
                <c:pt idx="42">
                  <c:v>73.83325938999936</c:v>
                </c:pt>
                <c:pt idx="43">
                  <c:v>74.05230278371363</c:v>
                </c:pt>
                <c:pt idx="44">
                  <c:v>74.27134617742789</c:v>
                </c:pt>
                <c:pt idx="45">
                  <c:v>74.49038957114214</c:v>
                </c:pt>
                <c:pt idx="46">
                  <c:v>74.7094329648564</c:v>
                </c:pt>
                <c:pt idx="47">
                  <c:v>74.92847635857066</c:v>
                </c:pt>
                <c:pt idx="48">
                  <c:v>75.14751975228492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2"/>
          <c:order val="2"/>
          <c:tx>
            <c:v>Cond 2</c:v>
          </c:tx>
          <c:spPr>
            <a:ln w="28575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'ANOVA H0 True, False'!$U$7:$U$55</c:f>
              <c:numCache>
                <c:formatCode>#,##0.00</c:formatCode>
                <c:ptCount val="49"/>
                <c:pt idx="0">
                  <c:v>74.63343685400051</c:v>
                </c:pt>
                <c:pt idx="1">
                  <c:v>74.85248024771477</c:v>
                </c:pt>
                <c:pt idx="2">
                  <c:v>75.07152364142902</c:v>
                </c:pt>
                <c:pt idx="3">
                  <c:v>75.29056703514328</c:v>
                </c:pt>
                <c:pt idx="4">
                  <c:v>75.50961042885754</c:v>
                </c:pt>
                <c:pt idx="5">
                  <c:v>75.7286538225718</c:v>
                </c:pt>
                <c:pt idx="6">
                  <c:v>75.94769721628605</c:v>
                </c:pt>
                <c:pt idx="7">
                  <c:v>76.16674061000032</c:v>
                </c:pt>
                <c:pt idx="8">
                  <c:v>76.38578400371458</c:v>
                </c:pt>
                <c:pt idx="9">
                  <c:v>76.60482739742883</c:v>
                </c:pt>
                <c:pt idx="10">
                  <c:v>76.82387079114309</c:v>
                </c:pt>
                <c:pt idx="11">
                  <c:v>77.04291418485735</c:v>
                </c:pt>
                <c:pt idx="12">
                  <c:v>77.26195757857161</c:v>
                </c:pt>
                <c:pt idx="13">
                  <c:v>77.48100097228587</c:v>
                </c:pt>
                <c:pt idx="14">
                  <c:v>77.70004436600013</c:v>
                </c:pt>
                <c:pt idx="15">
                  <c:v>77.91908775971438</c:v>
                </c:pt>
                <c:pt idx="16">
                  <c:v>78.13813115342865</c:v>
                </c:pt>
                <c:pt idx="17">
                  <c:v>78.3571745471429</c:v>
                </c:pt>
                <c:pt idx="18">
                  <c:v>78.57621794085716</c:v>
                </c:pt>
                <c:pt idx="19">
                  <c:v>78.79526133457142</c:v>
                </c:pt>
                <c:pt idx="20">
                  <c:v>79.01430472828567</c:v>
                </c:pt>
                <c:pt idx="21">
                  <c:v>79.23334812199994</c:v>
                </c:pt>
                <c:pt idx="22">
                  <c:v>79.4523915157142</c:v>
                </c:pt>
                <c:pt idx="23">
                  <c:v>79.67143490942846</c:v>
                </c:pt>
                <c:pt idx="24">
                  <c:v>79.89047830314271</c:v>
                </c:pt>
                <c:pt idx="25">
                  <c:v>80.10952169685697</c:v>
                </c:pt>
                <c:pt idx="26">
                  <c:v>80.32856509057123</c:v>
                </c:pt>
                <c:pt idx="27">
                  <c:v>80.5476084842855</c:v>
                </c:pt>
                <c:pt idx="28">
                  <c:v>80.76665187799975</c:v>
                </c:pt>
                <c:pt idx="29">
                  <c:v>80.985695271714</c:v>
                </c:pt>
                <c:pt idx="30">
                  <c:v>81.20473866542827</c:v>
                </c:pt>
                <c:pt idx="31">
                  <c:v>81.42378205914252</c:v>
                </c:pt>
                <c:pt idx="32">
                  <c:v>81.64282545285678</c:v>
                </c:pt>
                <c:pt idx="33">
                  <c:v>81.86186884657104</c:v>
                </c:pt>
                <c:pt idx="34">
                  <c:v>82.0809122402853</c:v>
                </c:pt>
                <c:pt idx="35">
                  <c:v>82.29995563399955</c:v>
                </c:pt>
                <c:pt idx="36">
                  <c:v>82.51899902771381</c:v>
                </c:pt>
                <c:pt idx="37">
                  <c:v>82.73804242142808</c:v>
                </c:pt>
                <c:pt idx="38">
                  <c:v>82.95708581514233</c:v>
                </c:pt>
                <c:pt idx="39">
                  <c:v>83.17612920885659</c:v>
                </c:pt>
                <c:pt idx="40">
                  <c:v>83.39517260257085</c:v>
                </c:pt>
                <c:pt idx="41">
                  <c:v>83.6142159962851</c:v>
                </c:pt>
                <c:pt idx="42">
                  <c:v>83.83325938999936</c:v>
                </c:pt>
                <c:pt idx="43">
                  <c:v>84.05230278371363</c:v>
                </c:pt>
                <c:pt idx="44">
                  <c:v>84.27134617742789</c:v>
                </c:pt>
                <c:pt idx="45">
                  <c:v>84.49038957114214</c:v>
                </c:pt>
                <c:pt idx="46">
                  <c:v>84.7094329648564</c:v>
                </c:pt>
                <c:pt idx="47">
                  <c:v>84.92847635857066</c:v>
                </c:pt>
                <c:pt idx="48">
                  <c:v>85.14751975228492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ser>
          <c:idx val="3"/>
          <c:order val="3"/>
          <c:tx>
            <c:v>Cond 1</c:v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'ANOVA H0 True, False'!$V$7:$V$55</c:f>
              <c:numCache>
                <c:formatCode>#,##0.00</c:formatCode>
                <c:ptCount val="49"/>
                <c:pt idx="0">
                  <c:v>84.63343685400051</c:v>
                </c:pt>
                <c:pt idx="1">
                  <c:v>84.85248024771477</c:v>
                </c:pt>
                <c:pt idx="2">
                  <c:v>85.07152364142902</c:v>
                </c:pt>
                <c:pt idx="3">
                  <c:v>85.29056703514328</c:v>
                </c:pt>
                <c:pt idx="4">
                  <c:v>85.50961042885754</c:v>
                </c:pt>
                <c:pt idx="5">
                  <c:v>85.7286538225718</c:v>
                </c:pt>
                <c:pt idx="6">
                  <c:v>85.94769721628605</c:v>
                </c:pt>
                <c:pt idx="7">
                  <c:v>86.16674061000032</c:v>
                </c:pt>
                <c:pt idx="8">
                  <c:v>86.38578400371458</c:v>
                </c:pt>
                <c:pt idx="9">
                  <c:v>86.60482739742883</c:v>
                </c:pt>
                <c:pt idx="10">
                  <c:v>86.82387079114309</c:v>
                </c:pt>
                <c:pt idx="11">
                  <c:v>87.04291418485735</c:v>
                </c:pt>
                <c:pt idx="12">
                  <c:v>87.26195757857161</c:v>
                </c:pt>
                <c:pt idx="13">
                  <c:v>87.48100097228587</c:v>
                </c:pt>
                <c:pt idx="14">
                  <c:v>87.70004436600013</c:v>
                </c:pt>
                <c:pt idx="15">
                  <c:v>87.91908775971438</c:v>
                </c:pt>
                <c:pt idx="16">
                  <c:v>88.13813115342865</c:v>
                </c:pt>
                <c:pt idx="17">
                  <c:v>88.3571745471429</c:v>
                </c:pt>
                <c:pt idx="18">
                  <c:v>88.57621794085716</c:v>
                </c:pt>
                <c:pt idx="19">
                  <c:v>88.79526133457142</c:v>
                </c:pt>
                <c:pt idx="20">
                  <c:v>89.01430472828567</c:v>
                </c:pt>
                <c:pt idx="21">
                  <c:v>89.23334812199994</c:v>
                </c:pt>
                <c:pt idx="22">
                  <c:v>89.4523915157142</c:v>
                </c:pt>
                <c:pt idx="23">
                  <c:v>89.67143490942846</c:v>
                </c:pt>
                <c:pt idx="24">
                  <c:v>89.89047830314271</c:v>
                </c:pt>
                <c:pt idx="25">
                  <c:v>90.10952169685697</c:v>
                </c:pt>
                <c:pt idx="26">
                  <c:v>90.32856509057123</c:v>
                </c:pt>
                <c:pt idx="27">
                  <c:v>90.5476084842855</c:v>
                </c:pt>
                <c:pt idx="28">
                  <c:v>90.76665187799975</c:v>
                </c:pt>
                <c:pt idx="29">
                  <c:v>90.985695271714</c:v>
                </c:pt>
                <c:pt idx="30">
                  <c:v>91.20473866542827</c:v>
                </c:pt>
                <c:pt idx="31">
                  <c:v>91.42378205914252</c:v>
                </c:pt>
                <c:pt idx="32">
                  <c:v>91.64282545285678</c:v>
                </c:pt>
                <c:pt idx="33">
                  <c:v>91.86186884657104</c:v>
                </c:pt>
                <c:pt idx="34">
                  <c:v>92.0809122402853</c:v>
                </c:pt>
                <c:pt idx="35">
                  <c:v>92.29995563399955</c:v>
                </c:pt>
                <c:pt idx="36">
                  <c:v>92.51899902771381</c:v>
                </c:pt>
                <c:pt idx="37">
                  <c:v>92.73804242142808</c:v>
                </c:pt>
                <c:pt idx="38">
                  <c:v>92.95708581514233</c:v>
                </c:pt>
                <c:pt idx="39">
                  <c:v>93.17612920885659</c:v>
                </c:pt>
                <c:pt idx="40">
                  <c:v>93.39517260257085</c:v>
                </c:pt>
                <c:pt idx="41">
                  <c:v>93.6142159962851</c:v>
                </c:pt>
                <c:pt idx="42">
                  <c:v>93.83325938999936</c:v>
                </c:pt>
                <c:pt idx="43">
                  <c:v>94.05230278371363</c:v>
                </c:pt>
                <c:pt idx="44">
                  <c:v>94.27134617742789</c:v>
                </c:pt>
                <c:pt idx="45">
                  <c:v>94.49038957114214</c:v>
                </c:pt>
                <c:pt idx="46">
                  <c:v>94.7094329648564</c:v>
                </c:pt>
                <c:pt idx="47">
                  <c:v>94.92847635857066</c:v>
                </c:pt>
                <c:pt idx="48">
                  <c:v>95.14751975228492</c:v>
                </c:pt>
              </c:numCache>
            </c:numRef>
          </c:xVal>
          <c:yVal>
            <c:numRef>
              <c:f>'ANOVA H0 True, False'!$R$7:$R$55</c:f>
              <c:numCache>
                <c:formatCode>#,##0.000</c:formatCode>
                <c:ptCount val="49"/>
                <c:pt idx="0">
                  <c:v>0.00247747857876698</c:v>
                </c:pt>
                <c:pt idx="1">
                  <c:v>0.00355051052621344</c:v>
                </c:pt>
                <c:pt idx="2">
                  <c:v>0.00501256476485972</c:v>
                </c:pt>
                <c:pt idx="3">
                  <c:v>0.00697135960122045</c:v>
                </c:pt>
                <c:pt idx="4">
                  <c:v>0.00955131723313178</c:v>
                </c:pt>
                <c:pt idx="5">
                  <c:v>0.012891318846749</c:v>
                </c:pt>
                <c:pt idx="6">
                  <c:v>0.0171403516050406</c:v>
                </c:pt>
                <c:pt idx="7">
                  <c:v>0.0224507264789243</c:v>
                </c:pt>
                <c:pt idx="8">
                  <c:v>0.0289687240733847</c:v>
                </c:pt>
                <c:pt idx="9">
                  <c:v>0.036822784935369</c:v>
                </c:pt>
                <c:pt idx="10">
                  <c:v>0.0461096888626208</c:v>
                </c:pt>
                <c:pt idx="11">
                  <c:v>0.0568795363971148</c:v>
                </c:pt>
                <c:pt idx="12">
                  <c:v>0.0691207115431242</c:v>
                </c:pt>
                <c:pt idx="13">
                  <c:v>0.0827463123895425</c:v>
                </c:pt>
                <c:pt idx="14">
                  <c:v>0.0975837251136397</c:v>
                </c:pt>
                <c:pt idx="15">
                  <c:v>0.113369030535447</c:v>
                </c:pt>
                <c:pt idx="16">
                  <c:v>0.129747730178842</c:v>
                </c:pt>
                <c:pt idx="17">
                  <c:v>0.1462828459975</c:v>
                </c:pt>
                <c:pt idx="18">
                  <c:v>0.162470803869895</c:v>
                </c:pt>
                <c:pt idx="19">
                  <c:v>0.177764711922183</c:v>
                </c:pt>
                <c:pt idx="20">
                  <c:v>0.19160378034968</c:v>
                </c:pt>
                <c:pt idx="21">
                  <c:v>0.203446812316062</c:v>
                </c:pt>
                <c:pt idx="22">
                  <c:v>0.212807045184609</c:v>
                </c:pt>
                <c:pt idx="23">
                  <c:v>0.219285244626691</c:v>
                </c:pt>
                <c:pt idx="24">
                  <c:v>0.222597926036067</c:v>
                </c:pt>
                <c:pt idx="25">
                  <c:v>0.222597926036066</c:v>
                </c:pt>
                <c:pt idx="26">
                  <c:v>0.21928524462669</c:v>
                </c:pt>
                <c:pt idx="27">
                  <c:v>0.212807045184608</c:v>
                </c:pt>
                <c:pt idx="28">
                  <c:v>0.20344681231606</c:v>
                </c:pt>
                <c:pt idx="29">
                  <c:v>0.191603780349678</c:v>
                </c:pt>
                <c:pt idx="30">
                  <c:v>0.177764711922181</c:v>
                </c:pt>
                <c:pt idx="31">
                  <c:v>0.162470803869892</c:v>
                </c:pt>
                <c:pt idx="32">
                  <c:v>0.146282845997498</c:v>
                </c:pt>
                <c:pt idx="33">
                  <c:v>0.129747730178839</c:v>
                </c:pt>
                <c:pt idx="34">
                  <c:v>0.113369030535444</c:v>
                </c:pt>
                <c:pt idx="35">
                  <c:v>0.0975837251136373</c:v>
                </c:pt>
                <c:pt idx="36">
                  <c:v>0.0827463123895402</c:v>
                </c:pt>
                <c:pt idx="37">
                  <c:v>0.0691207115431221</c:v>
                </c:pt>
                <c:pt idx="38">
                  <c:v>0.0568795363971129</c:v>
                </c:pt>
                <c:pt idx="39">
                  <c:v>0.0461096888626192</c:v>
                </c:pt>
                <c:pt idx="40">
                  <c:v>0.0368227849353676</c:v>
                </c:pt>
                <c:pt idx="41">
                  <c:v>0.0289687240733836</c:v>
                </c:pt>
                <c:pt idx="42">
                  <c:v>0.0224507264789234</c:v>
                </c:pt>
                <c:pt idx="43">
                  <c:v>0.01714035160504</c:v>
                </c:pt>
                <c:pt idx="44">
                  <c:v>0.0128913188467487</c:v>
                </c:pt>
                <c:pt idx="45">
                  <c:v>0.00955131723313159</c:v>
                </c:pt>
                <c:pt idx="46">
                  <c:v>0.00697135960122038</c:v>
                </c:pt>
                <c:pt idx="47">
                  <c:v>0.00501256476485972</c:v>
                </c:pt>
                <c:pt idx="48">
                  <c:v>0.00355051052621348</c:v>
                </c:pt>
              </c:numCache>
            </c:numRef>
          </c:yVal>
        </c:ser>
        <c:axId val="189434296"/>
        <c:axId val="189433544"/>
      </c:scatterChart>
      <c:valAx>
        <c:axId val="189434296"/>
        <c:scaling>
          <c:orientation val="minMax"/>
          <c:max val="100.0"/>
          <c:min val="50.0"/>
        </c:scaling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muj's for</a:t>
                </a:r>
                <a:r>
                  <a:rPr lang="en-US" sz="1800" b="0" baseline="0"/>
                  <a:t> the four conditions (not the same)</a:t>
                </a:r>
                <a:endParaRPr lang="en-US" sz="1800" b="0"/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89433544"/>
        <c:crosses val="autoZero"/>
        <c:crossBetween val="midCat"/>
      </c:valAx>
      <c:valAx>
        <c:axId val="18943354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.000" sourceLinked="1"/>
        <c:tickLblPos val="nextTo"/>
        <c:crossAx val="189434296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</c:chart>
  <c:spPr>
    <a:solidFill>
      <a:schemeClr val="bg2"/>
    </a:solidFill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215901</xdr:colOff>
      <xdr:row>14</xdr:row>
      <xdr:rowOff>25400</xdr:rowOff>
    </xdr:from>
    <xdr:to>
      <xdr:col>9</xdr:col>
      <xdr:colOff>1</xdr:colOff>
      <xdr:row>27</xdr:row>
      <xdr:rowOff>266700</xdr:rowOff>
    </xdr:to>
    <xdr:grpSp>
      <xdr:nvGrpSpPr>
        <xdr:cNvPr id="7" name="Group 6"/>
        <xdr:cNvGrpSpPr/>
      </xdr:nvGrpSpPr>
      <xdr:grpSpPr>
        <a:xfrm>
          <a:off x="5018810" y="4897582"/>
          <a:ext cx="5660736" cy="5021118"/>
          <a:chOff x="11657154" y="1638135"/>
          <a:chExt cx="4659086" cy="5538439"/>
        </a:xfrm>
      </xdr:grpSpPr>
      <xdr:graphicFrame macro="">
        <xdr:nvGraphicFramePr>
          <xdr:cNvPr id="3" name="Chart 2"/>
          <xdr:cNvGraphicFramePr/>
        </xdr:nvGraphicFramePr>
        <xdr:xfrm>
          <a:off x="11657154" y="1638135"/>
          <a:ext cx="4659086" cy="5538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Connector 4"/>
          <xdr:cNvCxnSpPr/>
        </xdr:nvCxnSpPr>
        <xdr:spPr>
          <a:xfrm flipV="1">
            <a:off x="12700386" y="5629478"/>
            <a:ext cx="3519192" cy="31218"/>
          </a:xfrm>
          <a:prstGeom prst="line">
            <a:avLst/>
          </a:prstGeom>
          <a:ln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/>
          <xdr:cNvSpPr txBox="1"/>
        </xdr:nvSpPr>
        <xdr:spPr>
          <a:xfrm>
            <a:off x="12091176" y="5378381"/>
            <a:ext cx="730338" cy="5109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2400"/>
              <a:t>98.6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359713" y="5503022"/>
    <xdr:ext cx="7289800" cy="63563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785100" y="38100"/>
    <xdr:ext cx="7200900" cy="6311900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10515600" y="0"/>
    <xdr:ext cx="7200900" cy="63119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10</xdr:row>
      <xdr:rowOff>0</xdr:rowOff>
    </xdr:from>
    <xdr:to>
      <xdr:col>14</xdr:col>
      <xdr:colOff>213360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620296</xdr:colOff>
      <xdr:row>0</xdr:row>
      <xdr:rowOff>179138</xdr:rowOff>
    </xdr:from>
    <xdr:to>
      <xdr:col>15</xdr:col>
      <xdr:colOff>727242</xdr:colOff>
      <xdr:row>13</xdr:row>
      <xdr:rowOff>326190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280738</xdr:colOff>
      <xdr:row>23</xdr:row>
      <xdr:rowOff>187160</xdr:rowOff>
    </xdr:from>
    <xdr:to>
      <xdr:col>11</xdr:col>
      <xdr:colOff>387685</xdr:colOff>
      <xdr:row>36</xdr:row>
      <xdr:rowOff>334212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620296</xdr:colOff>
      <xdr:row>23</xdr:row>
      <xdr:rowOff>179138</xdr:rowOff>
    </xdr:from>
    <xdr:to>
      <xdr:col>15</xdr:col>
      <xdr:colOff>727242</xdr:colOff>
      <xdr:row>36</xdr:row>
      <xdr:rowOff>326190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263805</xdr:colOff>
      <xdr:row>0</xdr:row>
      <xdr:rowOff>187160</xdr:rowOff>
    </xdr:from>
    <xdr:to>
      <xdr:col>11</xdr:col>
      <xdr:colOff>370752</xdr:colOff>
      <xdr:row>13</xdr:row>
      <xdr:rowOff>334212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21500" y="3429000"/>
    <xdr:ext cx="5600700" cy="55499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257801" y="4072466"/>
    <xdr:ext cx="4076699" cy="51308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12301" y="4068233"/>
    <xdr:ext cx="4089400" cy="5156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266266" y="3738033"/>
    <xdr:ext cx="4051300" cy="5499100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672233" y="3763435"/>
    <xdr:ext cx="4076700" cy="5461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212606" y="3122270"/>
    <xdr:ext cx="5065890" cy="5743222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565043" y="3129010"/>
    <xdr:ext cx="5065890" cy="5743222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79482" y="2582332"/>
    <xdr:ext cx="6331385" cy="4267211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17467" y="2590800"/>
    <xdr:ext cx="6341533" cy="426721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0310022" y="2992449"/>
    <xdr:ext cx="4475452" cy="5322709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99368" y="2981159"/>
    <xdr:ext cx="4625476" cy="5347367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16</xdr:col>
      <xdr:colOff>38100</xdr:colOff>
      <xdr:row>13</xdr:row>
      <xdr:rowOff>266700</xdr:rowOff>
    </xdr:from>
    <xdr:ext cx="1650587" cy="369332"/>
    <xdr:sp macro="" textlink="">
      <xdr:nvSpPr>
        <xdr:cNvPr id="4" name="TextBox 3"/>
        <xdr:cNvSpPr txBox="1"/>
      </xdr:nvSpPr>
      <xdr:spPr>
        <a:xfrm>
          <a:off x="15925800" y="43561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660400</xdr:colOff>
      <xdr:row>18</xdr:row>
      <xdr:rowOff>203200</xdr:rowOff>
    </xdr:from>
    <xdr:ext cx="1392817" cy="369332"/>
    <xdr:sp macro="" textlink="">
      <xdr:nvSpPr>
        <xdr:cNvPr id="5" name="TextBox 4"/>
        <xdr:cNvSpPr txBox="1"/>
      </xdr:nvSpPr>
      <xdr:spPr>
        <a:xfrm>
          <a:off x="15328900" y="5880100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2230099" y="1913467"/>
    <xdr:ext cx="8513233" cy="99822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16</xdr:col>
      <xdr:colOff>254001</xdr:colOff>
      <xdr:row>20</xdr:row>
      <xdr:rowOff>8467</xdr:rowOff>
    </xdr:from>
    <xdr:to>
      <xdr:col>17</xdr:col>
      <xdr:colOff>693854</xdr:colOff>
      <xdr:row>21</xdr:row>
      <xdr:rowOff>85699</xdr:rowOff>
    </xdr:to>
    <xdr:sp macro="" textlink="">
      <xdr:nvSpPr>
        <xdr:cNvPr id="5" name="TextBox 4"/>
        <xdr:cNvSpPr txBox="1"/>
      </xdr:nvSpPr>
      <xdr:spPr>
        <a:xfrm>
          <a:off x="16107834" y="5935134"/>
          <a:ext cx="1667520" cy="373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Immediate Test</a:t>
          </a:r>
        </a:p>
      </xdr:txBody>
    </xdr:sp>
    <xdr:clientData/>
  </xdr:twoCellAnchor>
  <xdr:twoCellAnchor>
    <xdr:from>
      <xdr:col>16</xdr:col>
      <xdr:colOff>80434</xdr:colOff>
      <xdr:row>28</xdr:row>
      <xdr:rowOff>156634</xdr:rowOff>
    </xdr:from>
    <xdr:to>
      <xdr:col>17</xdr:col>
      <xdr:colOff>254050</xdr:colOff>
      <xdr:row>29</xdr:row>
      <xdr:rowOff>233865</xdr:rowOff>
    </xdr:to>
    <xdr:sp macro="" textlink="">
      <xdr:nvSpPr>
        <xdr:cNvPr id="7" name="TextBox 6"/>
        <xdr:cNvSpPr txBox="1"/>
      </xdr:nvSpPr>
      <xdr:spPr>
        <a:xfrm>
          <a:off x="15934267" y="8453967"/>
          <a:ext cx="1401283" cy="373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Delayed Test</a:t>
          </a:r>
        </a:p>
      </xdr:txBody>
    </xdr:sp>
    <xdr:clientData/>
  </xdr:twoCellAnchor>
  <xdr:twoCellAnchor>
    <xdr:from>
      <xdr:col>14</xdr:col>
      <xdr:colOff>944033</xdr:colOff>
      <xdr:row>21</xdr:row>
      <xdr:rowOff>160867</xdr:rowOff>
    </xdr:from>
    <xdr:to>
      <xdr:col>15</xdr:col>
      <xdr:colOff>677332</xdr:colOff>
      <xdr:row>23</xdr:row>
      <xdr:rowOff>222998</xdr:rowOff>
    </xdr:to>
    <xdr:sp macro="" textlink="">
      <xdr:nvSpPr>
        <xdr:cNvPr id="8" name="TextBox 7"/>
        <xdr:cNvSpPr txBox="1"/>
      </xdr:nvSpPr>
      <xdr:spPr>
        <a:xfrm>
          <a:off x="14342533" y="6383867"/>
          <a:ext cx="960966" cy="65479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800"/>
            <a:t>Column Effect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3"/>
  <sheetViews>
    <sheetView workbookViewId="0">
      <selection activeCell="S1" sqref="S1"/>
    </sheetView>
  </sheetViews>
  <sheetFormatPr baseColWidth="10" defaultColWidth="13.09765625" defaultRowHeight="19"/>
  <cols>
    <col min="1" max="1" width="11.3984375" style="413" customWidth="1"/>
    <col min="2" max="2" width="10.5" style="413" customWidth="1"/>
    <col min="3" max="3" width="5.8984375" style="413" customWidth="1"/>
    <col min="4" max="4" width="10" style="413" customWidth="1"/>
    <col min="5" max="5" width="12.5" style="413" customWidth="1"/>
    <col min="6" max="6" width="6.3984375" style="413" customWidth="1"/>
    <col min="7" max="7" width="14.296875" style="413" customWidth="1"/>
    <col min="8" max="8" width="10.59765625" style="413" customWidth="1"/>
    <col min="9" max="9" width="9.59765625" style="413" customWidth="1"/>
    <col min="10" max="12" width="6" style="413" customWidth="1"/>
    <col min="13" max="15" width="7.3984375" style="413" customWidth="1"/>
    <col min="16" max="16" width="8.296875" style="413" customWidth="1"/>
    <col min="17" max="16384" width="13.09765625" style="413"/>
  </cols>
  <sheetData>
    <row r="1" spans="1:10">
      <c r="B1" s="414"/>
      <c r="C1" s="415"/>
      <c r="D1" s="416"/>
      <c r="E1" s="417"/>
      <c r="G1" s="418"/>
      <c r="H1" s="419"/>
      <c r="I1" s="420"/>
      <c r="J1" s="421"/>
    </row>
    <row r="2" spans="1:10" ht="25">
      <c r="A2" s="422"/>
      <c r="B2" s="420"/>
      <c r="C2" s="420"/>
      <c r="D2" s="420"/>
      <c r="E2" s="420"/>
      <c r="F2" s="420"/>
      <c r="G2" s="418"/>
      <c r="H2" s="423"/>
      <c r="I2" s="423"/>
      <c r="J2" s="424"/>
    </row>
    <row r="3" spans="1:10" ht="27" customHeight="1">
      <c r="A3" s="414"/>
      <c r="B3" s="420"/>
      <c r="C3" s="425"/>
      <c r="D3" s="420"/>
      <c r="E3" s="420"/>
      <c r="F3" s="420"/>
      <c r="G3" s="426"/>
    </row>
    <row r="4" spans="1:10" ht="27" customHeight="1">
      <c r="A4" s="414"/>
      <c r="B4" s="420"/>
      <c r="C4" s="425"/>
      <c r="D4" s="420"/>
      <c r="E4" s="420"/>
      <c r="F4" s="420"/>
      <c r="G4" s="426"/>
    </row>
    <row r="5" spans="1:10" ht="27" customHeight="1">
      <c r="A5" s="414"/>
      <c r="B5" s="420"/>
      <c r="C5" s="425"/>
      <c r="D5" s="420"/>
      <c r="E5" s="420"/>
      <c r="F5" s="420"/>
      <c r="G5" s="426"/>
    </row>
    <row r="6" spans="1:10" s="426" customFormat="1" ht="32" customHeight="1">
      <c r="A6" s="422"/>
      <c r="B6" s="420"/>
    </row>
    <row r="7" spans="1:10">
      <c r="A7" s="427"/>
      <c r="B7" s="427"/>
      <c r="D7" s="428"/>
      <c r="E7" s="420"/>
      <c r="G7" s="428"/>
      <c r="H7" s="420"/>
      <c r="I7" s="420"/>
    </row>
    <row r="8" spans="1:10" s="426" customFormat="1" ht="31" customHeight="1">
      <c r="A8" s="429"/>
      <c r="B8" s="430"/>
      <c r="D8" s="416"/>
      <c r="E8" s="431"/>
      <c r="G8" s="416"/>
      <c r="H8" s="432"/>
      <c r="I8" s="420"/>
      <c r="J8" s="413"/>
    </row>
    <row r="9" spans="1:10" ht="30" customHeight="1">
      <c r="A9" s="429"/>
      <c r="B9" s="430"/>
      <c r="C9" s="433"/>
      <c r="D9" s="416"/>
      <c r="E9" s="431"/>
      <c r="G9" s="416"/>
      <c r="H9" s="431"/>
      <c r="I9" s="420"/>
    </row>
    <row r="10" spans="1:10" ht="30" customHeight="1">
      <c r="A10" s="429"/>
      <c r="B10" s="430"/>
      <c r="C10" s="433"/>
      <c r="D10" s="434"/>
      <c r="E10" s="421"/>
      <c r="G10" s="434"/>
      <c r="H10" s="435"/>
      <c r="I10" s="436"/>
    </row>
    <row r="11" spans="1:10" ht="30" customHeight="1">
      <c r="A11" s="429"/>
      <c r="B11" s="430"/>
      <c r="C11" s="418"/>
      <c r="G11" s="416"/>
      <c r="H11" s="432"/>
      <c r="I11" s="799"/>
    </row>
    <row r="12" spans="1:10" ht="30" customHeight="1">
      <c r="A12" s="429"/>
      <c r="B12" s="430"/>
      <c r="G12" s="416"/>
      <c r="H12" s="432"/>
      <c r="I12" s="799"/>
    </row>
    <row r="13" spans="1:10" ht="30" customHeight="1">
      <c r="A13" s="429"/>
      <c r="B13" s="430"/>
      <c r="J13" s="437"/>
    </row>
    <row r="14" spans="1:10" ht="30" customHeight="1">
      <c r="A14" s="429"/>
      <c r="B14" s="430"/>
    </row>
    <row r="15" spans="1:10" ht="30" customHeight="1">
      <c r="A15" s="429"/>
      <c r="B15" s="430"/>
    </row>
    <row r="16" spans="1:10" ht="30" customHeight="1">
      <c r="A16" s="429"/>
      <c r="B16" s="430"/>
    </row>
    <row r="17" spans="1:4" ht="30" customHeight="1">
      <c r="A17" s="429"/>
      <c r="B17" s="430"/>
    </row>
    <row r="18" spans="1:4" ht="30" customHeight="1">
      <c r="A18" s="420"/>
      <c r="B18" s="432"/>
      <c r="C18" s="420"/>
      <c r="D18" s="438"/>
    </row>
    <row r="19" spans="1:4" ht="30" customHeight="1">
      <c r="A19" s="428"/>
      <c r="B19" s="420"/>
      <c r="C19" s="420"/>
    </row>
    <row r="20" spans="1:4" ht="30" customHeight="1">
      <c r="A20" s="416"/>
      <c r="B20" s="439"/>
    </row>
    <row r="21" spans="1:4" ht="30" customHeight="1">
      <c r="A21" s="416"/>
      <c r="B21" s="440"/>
    </row>
    <row r="22" spans="1:4" ht="27" customHeight="1">
      <c r="A22" s="441"/>
      <c r="B22" s="442"/>
    </row>
    <row r="23" spans="1:4" ht="27" customHeight="1">
      <c r="A23" s="443"/>
      <c r="B23" s="429"/>
    </row>
    <row r="24" spans="1:4" ht="27" customHeight="1">
      <c r="A24" s="416"/>
      <c r="B24" s="431"/>
    </row>
    <row r="25" spans="1:4" ht="27" customHeight="1">
      <c r="A25" s="416"/>
      <c r="B25" s="431"/>
      <c r="C25" s="442"/>
      <c r="D25" s="438"/>
    </row>
    <row r="26" spans="1:4" ht="27" customHeight="1">
      <c r="A26" s="416"/>
      <c r="B26" s="431"/>
    </row>
    <row r="27" spans="1:4" ht="27" customHeight="1">
      <c r="A27" s="416"/>
      <c r="B27" s="431"/>
    </row>
    <row r="28" spans="1:4" ht="27" customHeight="1"/>
    <row r="29" spans="1:4" ht="27" customHeight="1"/>
    <row r="30" spans="1:4" ht="27" customHeight="1">
      <c r="A30" s="418"/>
    </row>
    <row r="31" spans="1:4" ht="30" customHeight="1"/>
    <row r="32" spans="1:4" ht="27" customHeight="1"/>
    <row r="33" spans="1:1" ht="27" customHeight="1"/>
    <row r="34" spans="1:1" ht="27" customHeight="1"/>
    <row r="35" spans="1:1" ht="27" customHeight="1"/>
    <row r="36" spans="1:1" ht="27" customHeight="1">
      <c r="A36" s="418"/>
    </row>
    <row r="37" spans="1:1" ht="30" customHeight="1"/>
    <row r="38" spans="1:1" ht="27" customHeight="1"/>
    <row r="39" spans="1:1" ht="27" customHeight="1"/>
    <row r="40" spans="1:1" ht="27" customHeight="1"/>
    <row r="41" spans="1:1" ht="27" customHeight="1"/>
    <row r="42" spans="1:1" ht="27" customHeight="1"/>
    <row r="43" spans="1:1" ht="27" customHeight="1"/>
  </sheetData>
  <sheetCalcPr fullCalcOnLoad="1"/>
  <mergeCells count="1">
    <mergeCell ref="I11:I12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workbookViewId="0">
      <selection activeCell="D31" sqref="D31"/>
    </sheetView>
  </sheetViews>
  <sheetFormatPr baseColWidth="10" defaultColWidth="9.3984375" defaultRowHeight="27" customHeight="1"/>
  <cols>
    <col min="1" max="4" width="9.09765625" style="8" customWidth="1"/>
    <col min="5" max="5" width="3.69921875" style="8" customWidth="1"/>
    <col min="6" max="6" width="11.296875" style="8" customWidth="1"/>
    <col min="7" max="7" width="11.69921875" style="8" customWidth="1"/>
    <col min="8" max="9" width="10" style="8" customWidth="1"/>
    <col min="10" max="10" width="11.69921875" style="8" customWidth="1"/>
    <col min="11" max="11" width="3.5" style="8" customWidth="1"/>
    <col min="12" max="12" width="10.8984375" style="8" customWidth="1"/>
    <col min="13" max="13" width="11.5" style="8" customWidth="1"/>
    <col min="14" max="19" width="10" style="8" customWidth="1"/>
    <col min="20" max="20" width="8.3984375" style="8" customWidth="1"/>
    <col min="21" max="16384" width="9.3984375" style="8"/>
  </cols>
  <sheetData>
    <row r="1" spans="1:17" ht="48" customHeight="1">
      <c r="A1" s="816" t="s">
        <v>705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</row>
    <row r="2" spans="1:17" ht="27" customHeight="1" thickBot="1">
      <c r="A2" s="181" t="s">
        <v>188</v>
      </c>
      <c r="B2" s="183">
        <v>9</v>
      </c>
      <c r="C2" s="181" t="s">
        <v>273</v>
      </c>
      <c r="D2" s="183">
        <v>12</v>
      </c>
      <c r="F2" s="626" t="s">
        <v>704</v>
      </c>
      <c r="G2" s="627">
        <v>0.05</v>
      </c>
      <c r="H2" s="628"/>
      <c r="I2" s="628"/>
      <c r="J2" s="628"/>
      <c r="K2" s="603"/>
      <c r="L2" s="626" t="s">
        <v>704</v>
      </c>
      <c r="M2" s="627">
        <f>G2</f>
        <v>0.05</v>
      </c>
      <c r="N2" s="628"/>
      <c r="O2" s="628"/>
      <c r="P2" s="628"/>
      <c r="Q2" s="602"/>
    </row>
    <row r="3" spans="1:17" ht="27" customHeight="1">
      <c r="A3" s="181" t="s">
        <v>187</v>
      </c>
      <c r="B3" s="182">
        <v>5</v>
      </c>
      <c r="C3" s="181" t="s">
        <v>193</v>
      </c>
      <c r="D3" s="155">
        <v>5</v>
      </c>
      <c r="F3" s="817" t="s">
        <v>701</v>
      </c>
      <c r="G3" s="818"/>
      <c r="H3" s="818"/>
      <c r="I3" s="818"/>
      <c r="J3" s="819"/>
      <c r="K3" s="601"/>
      <c r="L3" s="817" t="s">
        <v>670</v>
      </c>
      <c r="M3" s="818"/>
      <c r="N3" s="818"/>
      <c r="O3" s="818"/>
      <c r="P3" s="819"/>
      <c r="Q3" s="602"/>
    </row>
    <row r="4" spans="1:17" ht="27" customHeight="1">
      <c r="A4" s="808" t="s">
        <v>528</v>
      </c>
      <c r="B4" s="808"/>
      <c r="C4" s="808"/>
      <c r="D4" s="808"/>
      <c r="F4" s="610" t="s">
        <v>257</v>
      </c>
      <c r="G4" s="611">
        <f ca="1">B18/D18</f>
        <v>7.2142857142857144</v>
      </c>
      <c r="H4" s="611" t="s">
        <v>702</v>
      </c>
      <c r="I4" s="612"/>
      <c r="J4" s="613"/>
      <c r="K4" s="601"/>
      <c r="L4" s="610" t="s">
        <v>257</v>
      </c>
      <c r="M4" s="611">
        <f ca="1">IF(B18&gt;D18,B18/D18,D18/B18)</f>
        <v>7.2142857142857144</v>
      </c>
      <c r="N4" s="611" t="s">
        <v>341</v>
      </c>
      <c r="O4" s="612"/>
      <c r="P4" s="613"/>
      <c r="Q4" s="602"/>
    </row>
    <row r="5" spans="1:17" ht="27" customHeight="1">
      <c r="A5" s="807" t="s">
        <v>529</v>
      </c>
      <c r="B5" s="807"/>
      <c r="C5" s="807" t="s">
        <v>536</v>
      </c>
      <c r="D5" s="807"/>
      <c r="F5" s="610"/>
      <c r="G5" s="614"/>
      <c r="H5" s="614"/>
      <c r="I5" s="612"/>
      <c r="J5" s="613"/>
      <c r="K5" s="602"/>
      <c r="L5" s="610"/>
      <c r="M5" s="614"/>
      <c r="N5" s="611" t="s">
        <v>352</v>
      </c>
      <c r="O5" s="614"/>
      <c r="P5" s="613"/>
      <c r="Q5" s="602"/>
    </row>
    <row r="6" spans="1:17" ht="27" customHeight="1">
      <c r="A6" s="170" t="s">
        <v>489</v>
      </c>
      <c r="B6" s="158">
        <f t="shared" ref="B6:B13" ca="1" si="0">ROUND(NORMINV(RAND(),B$2,B$3),0)</f>
        <v>10</v>
      </c>
      <c r="C6" s="170" t="s">
        <v>481</v>
      </c>
      <c r="D6" s="158">
        <f ca="1">ROUND(NORMINV(RAND(),D$2,D$3),0)</f>
        <v>11</v>
      </c>
      <c r="F6" s="619"/>
      <c r="G6" s="620"/>
      <c r="H6" s="621"/>
      <c r="I6" s="614"/>
      <c r="J6" s="622"/>
      <c r="K6" s="605"/>
      <c r="L6" s="610"/>
      <c r="M6" s="614"/>
      <c r="N6" s="611" t="s">
        <v>353</v>
      </c>
      <c r="O6" s="614"/>
      <c r="P6" s="613"/>
      <c r="Q6" s="602"/>
    </row>
    <row r="7" spans="1:17" ht="27" customHeight="1">
      <c r="A7" s="170" t="s">
        <v>482</v>
      </c>
      <c r="B7" s="158">
        <f t="shared" ca="1" si="0"/>
        <v>14</v>
      </c>
      <c r="C7" s="170" t="s">
        <v>490</v>
      </c>
      <c r="D7" s="158">
        <f ca="1">ROUND(NORMINV(RAND(),D$2,D$3),0)</f>
        <v>14</v>
      </c>
      <c r="F7" s="610"/>
      <c r="G7" s="620"/>
      <c r="H7" s="621"/>
      <c r="I7" s="614"/>
      <c r="J7" s="623"/>
      <c r="K7" s="605"/>
      <c r="L7" s="610"/>
      <c r="M7" s="614"/>
      <c r="N7" s="614"/>
      <c r="O7" s="614"/>
      <c r="P7" s="613"/>
      <c r="Q7" s="602"/>
    </row>
    <row r="8" spans="1:17" ht="27" customHeight="1">
      <c r="A8" s="170" t="s">
        <v>491</v>
      </c>
      <c r="B8" s="158">
        <f t="shared" ca="1" si="0"/>
        <v>17</v>
      </c>
      <c r="C8" s="170" t="s">
        <v>492</v>
      </c>
      <c r="D8" s="158">
        <f ca="1">ROUND(NORMINV(RAND(),D$2,D$3),0)</f>
        <v>17</v>
      </c>
      <c r="F8" s="624"/>
      <c r="G8" s="620"/>
      <c r="H8" s="621"/>
      <c r="I8" s="614"/>
      <c r="J8" s="623"/>
      <c r="K8" s="605"/>
      <c r="L8" s="610"/>
      <c r="M8" s="614"/>
      <c r="N8" s="614"/>
      <c r="O8" s="614"/>
      <c r="P8" s="613"/>
      <c r="Q8" s="602"/>
    </row>
    <row r="9" spans="1:17" ht="27" customHeight="1">
      <c r="A9" s="170" t="s">
        <v>690</v>
      </c>
      <c r="B9" s="158">
        <f t="shared" ca="1" si="0"/>
        <v>-6</v>
      </c>
      <c r="C9" s="170" t="s">
        <v>534</v>
      </c>
      <c r="D9" s="158">
        <f ca="1">ROUND(NORMINV(RAND(),D$2,D$3),0)</f>
        <v>16</v>
      </c>
      <c r="F9" s="610" t="s">
        <v>681</v>
      </c>
      <c r="G9" s="611">
        <f ca="1">FINV(G2,B17,D17)</f>
        <v>8.8867429558534852</v>
      </c>
      <c r="H9" s="611" t="s">
        <v>703</v>
      </c>
      <c r="I9" s="614"/>
      <c r="J9" s="623"/>
      <c r="K9" s="605"/>
      <c r="L9" s="610" t="s">
        <v>681</v>
      </c>
      <c r="M9" s="611">
        <f ca="1">IF(B18&gt;D18,FINV(M2/2,B17,D17),FINV(M2/2,D17,B17))</f>
        <v>14.624395022597717</v>
      </c>
      <c r="N9" s="611" t="s">
        <v>342</v>
      </c>
      <c r="O9" s="612"/>
      <c r="P9" s="613"/>
      <c r="Q9" s="602"/>
    </row>
    <row r="10" spans="1:17" ht="27" customHeight="1">
      <c r="A10" s="186" t="s">
        <v>539</v>
      </c>
      <c r="B10" s="158">
        <f t="shared" ca="1" si="0"/>
        <v>14</v>
      </c>
      <c r="C10" s="186"/>
      <c r="D10" s="158"/>
      <c r="F10" s="629" t="str">
        <f ca="1">IF(G4&gt;G9,"Reject null hypothesis", "Don't reject null hypothesis")</f>
        <v>Don't reject null hypothesis</v>
      </c>
      <c r="G10" s="614"/>
      <c r="H10" s="614"/>
      <c r="I10" s="614"/>
      <c r="J10" s="623"/>
      <c r="K10" s="605"/>
      <c r="L10" s="629" t="str">
        <f ca="1">IF(M4&gt;M9,"Reject null hypothesis", "Don't reject null hypothesis")</f>
        <v>Don't reject null hypothesis</v>
      </c>
      <c r="M10" s="614"/>
      <c r="N10" s="611" t="s">
        <v>354</v>
      </c>
      <c r="O10" s="614"/>
      <c r="P10" s="613"/>
      <c r="Q10" s="602"/>
    </row>
    <row r="11" spans="1:17" ht="27" customHeight="1" thickBot="1">
      <c r="A11" s="186" t="s">
        <v>540</v>
      </c>
      <c r="B11" s="158">
        <f t="shared" ca="1" si="0"/>
        <v>8</v>
      </c>
      <c r="C11" s="186"/>
      <c r="D11" s="158"/>
      <c r="F11" s="615"/>
      <c r="G11" s="616"/>
      <c r="H11" s="616"/>
      <c r="I11" s="616"/>
      <c r="J11" s="625"/>
      <c r="K11" s="605"/>
      <c r="L11" s="615"/>
      <c r="M11" s="616"/>
      <c r="N11" s="617" t="s">
        <v>525</v>
      </c>
      <c r="O11" s="616"/>
      <c r="P11" s="618"/>
      <c r="Q11" s="602"/>
    </row>
    <row r="12" spans="1:17" ht="27" customHeight="1">
      <c r="A12" s="186" t="s">
        <v>27</v>
      </c>
      <c r="B12" s="158">
        <f t="shared" ca="1" si="0"/>
        <v>11</v>
      </c>
      <c r="C12" s="186"/>
      <c r="D12" s="158"/>
      <c r="F12" s="603"/>
      <c r="G12" s="603"/>
      <c r="H12" s="603"/>
      <c r="I12" s="601"/>
      <c r="J12" s="603"/>
      <c r="K12" s="603"/>
      <c r="L12" s="603"/>
      <c r="M12" s="604"/>
      <c r="N12" s="602"/>
      <c r="O12" s="602"/>
      <c r="P12" s="604"/>
      <c r="Q12" s="602"/>
    </row>
    <row r="13" spans="1:17" ht="27" customHeight="1" thickBot="1">
      <c r="A13" s="214" t="s">
        <v>28</v>
      </c>
      <c r="B13" s="215">
        <f t="shared" ca="1" si="0"/>
        <v>6</v>
      </c>
      <c r="C13" s="214"/>
      <c r="D13" s="215"/>
      <c r="F13" s="603"/>
      <c r="G13" s="603"/>
      <c r="H13" s="603"/>
      <c r="I13" s="603"/>
      <c r="J13" s="603"/>
      <c r="K13" s="603"/>
      <c r="L13" s="603"/>
      <c r="M13" s="602"/>
      <c r="N13" s="602"/>
      <c r="O13" s="602"/>
      <c r="P13" s="602"/>
      <c r="Q13" s="602"/>
    </row>
    <row r="14" spans="1:17" ht="27" customHeight="1">
      <c r="A14" s="187" t="s">
        <v>706</v>
      </c>
      <c r="B14" s="213">
        <f ca="1">SUM(B6:B13)</f>
        <v>74</v>
      </c>
      <c r="C14" s="187" t="s">
        <v>707</v>
      </c>
      <c r="D14" s="213">
        <f ca="1">SUM(D6:D13)</f>
        <v>58</v>
      </c>
      <c r="F14" s="603"/>
      <c r="G14" s="603"/>
      <c r="H14" s="603"/>
      <c r="I14" s="603"/>
      <c r="J14" s="603"/>
      <c r="K14" s="603"/>
      <c r="L14" s="603"/>
      <c r="M14" s="602"/>
      <c r="N14" s="602"/>
      <c r="O14" s="602"/>
      <c r="P14" s="602"/>
      <c r="Q14" s="602"/>
    </row>
    <row r="15" spans="1:17" ht="27" customHeight="1">
      <c r="A15" s="170" t="s">
        <v>423</v>
      </c>
      <c r="B15" s="158">
        <f ca="1">COUNT(B6:B13)</f>
        <v>8</v>
      </c>
      <c r="C15" s="170" t="s">
        <v>22</v>
      </c>
      <c r="D15" s="158">
        <f ca="1">COUNT(D6:D13)</f>
        <v>4</v>
      </c>
      <c r="F15" s="603"/>
      <c r="G15" s="603"/>
      <c r="H15" s="603"/>
      <c r="I15" s="603"/>
      <c r="J15" s="603"/>
      <c r="K15" s="603"/>
      <c r="L15" s="603"/>
      <c r="M15" s="602"/>
      <c r="N15" s="602"/>
      <c r="O15" s="602"/>
      <c r="P15" s="602"/>
      <c r="Q15" s="602"/>
    </row>
    <row r="16" spans="1:17" ht="27" customHeight="1">
      <c r="A16" s="130" t="s">
        <v>560</v>
      </c>
      <c r="B16" s="138">
        <f ca="1">SUMSQ(B6:B13)-B14^2/B15</f>
        <v>353.5</v>
      </c>
      <c r="C16" s="130" t="s">
        <v>399</v>
      </c>
      <c r="D16" s="138">
        <f ca="1">SUMSQ(D6:D13)-D14^2/D15</f>
        <v>21</v>
      </c>
      <c r="F16" s="603"/>
      <c r="G16" s="603"/>
      <c r="H16" s="603"/>
      <c r="I16" s="603"/>
      <c r="J16" s="603"/>
      <c r="K16" s="603"/>
      <c r="L16" s="603"/>
      <c r="M16" s="602"/>
      <c r="N16" s="602"/>
      <c r="O16" s="602"/>
      <c r="P16" s="602"/>
      <c r="Q16" s="602"/>
    </row>
    <row r="17" spans="1:17" ht="27" customHeight="1">
      <c r="A17" s="127" t="s">
        <v>708</v>
      </c>
      <c r="B17" s="133">
        <f ca="1">B15-1</f>
        <v>7</v>
      </c>
      <c r="C17" s="127" t="s">
        <v>400</v>
      </c>
      <c r="D17" s="133">
        <f ca="1">D15-1</f>
        <v>3</v>
      </c>
      <c r="F17" s="603"/>
      <c r="G17" s="603"/>
      <c r="H17" s="603"/>
      <c r="I17" s="603"/>
      <c r="J17" s="603"/>
      <c r="K17" s="603"/>
      <c r="L17" s="603"/>
      <c r="M17" s="602"/>
      <c r="N17" s="602"/>
      <c r="O17" s="602"/>
      <c r="P17" s="602"/>
      <c r="Q17" s="602"/>
    </row>
    <row r="18" spans="1:17" ht="27" customHeight="1">
      <c r="A18" s="127" t="s">
        <v>551</v>
      </c>
      <c r="B18" s="255">
        <f ca="1">B16/B17</f>
        <v>50.5</v>
      </c>
      <c r="C18" s="127" t="s">
        <v>401</v>
      </c>
      <c r="D18" s="255">
        <f ca="1">D16/D17</f>
        <v>7</v>
      </c>
      <c r="F18" s="603"/>
      <c r="G18" s="603"/>
      <c r="H18" s="603"/>
      <c r="I18" s="603"/>
      <c r="J18" s="603"/>
      <c r="K18" s="603"/>
      <c r="L18" s="603"/>
      <c r="M18" s="602"/>
      <c r="N18" s="602"/>
      <c r="O18" s="602"/>
      <c r="P18" s="602"/>
      <c r="Q18" s="602"/>
    </row>
    <row r="19" spans="1:17" ht="27" customHeight="1">
      <c r="A19" s="127" t="s">
        <v>402</v>
      </c>
      <c r="B19" s="255">
        <f ca="1">SQRT(B18)</f>
        <v>7.1063352017759476</v>
      </c>
      <c r="C19" s="127" t="s">
        <v>403</v>
      </c>
      <c r="D19" s="255">
        <f ca="1">SQRT(D18)</f>
        <v>2.6457513110645907</v>
      </c>
      <c r="F19" s="603"/>
      <c r="G19" s="603"/>
      <c r="H19" s="603"/>
      <c r="I19" s="603"/>
      <c r="J19" s="603"/>
      <c r="K19" s="603"/>
      <c r="L19" s="603"/>
      <c r="M19" s="602"/>
      <c r="N19" s="602"/>
      <c r="O19" s="602"/>
      <c r="P19" s="602"/>
      <c r="Q19" s="602"/>
    </row>
    <row r="20" spans="1:17" ht="27" customHeight="1">
      <c r="F20" s="603"/>
      <c r="G20" s="603"/>
      <c r="H20" s="603"/>
      <c r="I20" s="603"/>
      <c r="J20" s="603"/>
      <c r="K20" s="603"/>
      <c r="L20" s="603"/>
      <c r="M20" s="602"/>
      <c r="N20" s="602"/>
      <c r="O20" s="602"/>
      <c r="P20" s="602"/>
      <c r="Q20" s="602"/>
    </row>
    <row r="21" spans="1:17" ht="27" customHeight="1">
      <c r="D21" s="86"/>
      <c r="F21" s="815"/>
      <c r="G21" s="815"/>
      <c r="H21" s="606"/>
      <c r="I21" s="607"/>
      <c r="J21" s="608"/>
      <c r="K21" s="606"/>
      <c r="L21" s="606"/>
      <c r="M21" s="609"/>
      <c r="N21" s="609"/>
      <c r="O21" s="609"/>
      <c r="P21" s="609"/>
      <c r="Q21" s="609"/>
    </row>
    <row r="22" spans="1:17" ht="27" customHeight="1">
      <c r="D22" s="86"/>
      <c r="F22" s="593"/>
      <c r="G22" s="593"/>
      <c r="H22" s="594"/>
      <c r="I22" s="593"/>
      <c r="J22" s="595"/>
      <c r="K22" s="597"/>
      <c r="L22" s="597"/>
    </row>
    <row r="23" spans="1:17" ht="27" customHeight="1">
      <c r="D23" s="86"/>
      <c r="F23" s="595"/>
      <c r="G23" s="597"/>
      <c r="H23" s="597"/>
      <c r="I23" s="593"/>
      <c r="J23" s="595"/>
      <c r="K23" s="597"/>
      <c r="L23" s="597"/>
    </row>
    <row r="24" spans="1:17" ht="27" customHeight="1">
      <c r="D24" s="86"/>
      <c r="F24" s="595"/>
      <c r="G24" s="597"/>
      <c r="H24" s="597"/>
      <c r="I24" s="593"/>
      <c r="J24" s="595"/>
      <c r="K24" s="597"/>
      <c r="L24" s="597"/>
    </row>
    <row r="25" spans="1:17" ht="27" customHeight="1">
      <c r="A25" s="2"/>
      <c r="B25" s="2"/>
      <c r="C25" s="118"/>
      <c r="D25" s="86"/>
      <c r="F25" s="598"/>
      <c r="G25" s="600"/>
      <c r="H25" s="600"/>
      <c r="I25" s="593"/>
      <c r="J25" s="598"/>
      <c r="K25" s="599"/>
      <c r="L25" s="599"/>
    </row>
    <row r="26" spans="1:17" ht="27" customHeight="1">
      <c r="D26" s="86"/>
      <c r="F26" s="595"/>
      <c r="G26" s="597"/>
      <c r="H26" s="597"/>
      <c r="I26" s="593"/>
      <c r="J26" s="595"/>
      <c r="K26" s="596"/>
      <c r="L26" s="596"/>
    </row>
    <row r="27" spans="1:17" ht="27" customHeight="1">
      <c r="A27" s="2"/>
      <c r="B27" s="86"/>
      <c r="D27" s="86"/>
      <c r="F27" s="595"/>
      <c r="G27" s="597"/>
      <c r="H27" s="597"/>
      <c r="I27" s="593"/>
      <c r="J27" s="595"/>
      <c r="K27" s="596"/>
      <c r="L27" s="596"/>
    </row>
    <row r="34" spans="1:4" ht="27" customHeight="1">
      <c r="A34" s="21"/>
      <c r="B34" s="49"/>
      <c r="C34" s="173"/>
      <c r="D34" s="49"/>
    </row>
    <row r="35" spans="1:4" ht="27" customHeight="1">
      <c r="A35" s="21"/>
      <c r="D35" s="49"/>
    </row>
    <row r="36" spans="1:4" ht="27" customHeight="1">
      <c r="A36" s="21"/>
      <c r="D36" s="49"/>
    </row>
    <row r="37" spans="1:4" ht="27" customHeight="1">
      <c r="A37" s="21"/>
      <c r="D37" s="49"/>
    </row>
    <row r="38" spans="1:4" ht="27" customHeight="1">
      <c r="A38" s="21"/>
      <c r="D38" s="49"/>
    </row>
    <row r="39" spans="1:4" ht="27" customHeight="1">
      <c r="A39" s="21"/>
      <c r="D39" s="49"/>
    </row>
    <row r="40" spans="1:4" ht="27" customHeight="1">
      <c r="A40" s="21"/>
      <c r="D40" s="49"/>
    </row>
    <row r="41" spans="1:4" ht="27" customHeight="1">
      <c r="A41" s="21"/>
      <c r="B41" s="49"/>
      <c r="C41" s="173"/>
      <c r="D41" s="49"/>
    </row>
  </sheetData>
  <mergeCells count="7">
    <mergeCell ref="F21:G21"/>
    <mergeCell ref="A1:P1"/>
    <mergeCell ref="A4:D4"/>
    <mergeCell ref="A5:B5"/>
    <mergeCell ref="C5:D5"/>
    <mergeCell ref="F3:J3"/>
    <mergeCell ref="L3:P3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tabSelected="1" zoomScale="98" workbookViewId="0">
      <selection activeCell="O44" sqref="O44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19" customWidth="1"/>
    <col min="16" max="35" width="9.59765625" style="1" customWidth="1"/>
    <col min="36" max="16384" width="10.69921875" style="1"/>
  </cols>
  <sheetData>
    <row r="1" spans="1:18" ht="23" customHeight="1">
      <c r="A1" s="843" t="s">
        <v>109</v>
      </c>
      <c r="B1" s="844"/>
      <c r="C1" s="830" t="s">
        <v>519</v>
      </c>
      <c r="D1" s="830"/>
      <c r="E1" s="830"/>
      <c r="F1" s="830"/>
      <c r="G1" s="830"/>
      <c r="H1" s="830"/>
      <c r="I1" s="830"/>
      <c r="J1" s="830"/>
      <c r="K1" s="319"/>
      <c r="L1" s="319"/>
      <c r="N1" s="444"/>
      <c r="O1" s="444"/>
      <c r="P1" s="29" t="s">
        <v>126</v>
      </c>
      <c r="Q1" s="445"/>
      <c r="R1" s="445"/>
    </row>
    <row r="2" spans="1:18" ht="23" customHeight="1">
      <c r="A2" s="845"/>
      <c r="B2" s="845"/>
      <c r="C2" s="363" t="s">
        <v>110</v>
      </c>
      <c r="D2" s="365">
        <v>1</v>
      </c>
      <c r="E2" s="364" t="s">
        <v>3</v>
      </c>
      <c r="F2" s="365">
        <v>15</v>
      </c>
      <c r="G2" s="364" t="s">
        <v>4</v>
      </c>
      <c r="H2" s="365">
        <v>30</v>
      </c>
      <c r="I2" s="364" t="s">
        <v>5</v>
      </c>
      <c r="J2" s="365">
        <v>45</v>
      </c>
      <c r="K2" s="166"/>
      <c r="L2" s="166"/>
      <c r="M2" s="12"/>
      <c r="N2" s="291" t="s">
        <v>558</v>
      </c>
      <c r="O2" s="292" t="s">
        <v>622</v>
      </c>
      <c r="P2" s="292" t="s">
        <v>623</v>
      </c>
      <c r="Q2" s="293" t="s">
        <v>459</v>
      </c>
      <c r="R2" s="293" t="s">
        <v>460</v>
      </c>
    </row>
    <row r="3" spans="1:18" ht="23" customHeight="1">
      <c r="A3" s="834" t="s">
        <v>93</v>
      </c>
      <c r="B3" s="831" t="s">
        <v>100</v>
      </c>
      <c r="C3" s="835" t="s">
        <v>250</v>
      </c>
      <c r="D3" s="836">
        <v>95</v>
      </c>
      <c r="E3" s="838" t="s">
        <v>251</v>
      </c>
      <c r="F3" s="836">
        <v>80</v>
      </c>
      <c r="G3" s="838" t="s">
        <v>252</v>
      </c>
      <c r="H3" s="836">
        <v>74</v>
      </c>
      <c r="I3" s="838" t="s">
        <v>306</v>
      </c>
      <c r="J3" s="852">
        <v>72</v>
      </c>
      <c r="K3" s="823" t="s">
        <v>307</v>
      </c>
      <c r="L3" s="825">
        <f>AVERAGE(D3,F3,H3,J3)</f>
        <v>80.25</v>
      </c>
      <c r="M3" s="175"/>
      <c r="N3" s="242">
        <v>1</v>
      </c>
      <c r="O3" s="243">
        <f>D3</f>
        <v>95</v>
      </c>
      <c r="P3" s="243">
        <f>D5</f>
        <v>74</v>
      </c>
      <c r="Q3" s="372">
        <f ca="1">D18</f>
        <v>95.8</v>
      </c>
      <c r="R3" s="372">
        <f ca="1">D26</f>
        <v>72.400000000000006</v>
      </c>
    </row>
    <row r="4" spans="1:18" ht="23" customHeight="1">
      <c r="A4" s="834"/>
      <c r="B4" s="832"/>
      <c r="C4" s="835"/>
      <c r="D4" s="837"/>
      <c r="E4" s="839"/>
      <c r="F4" s="837"/>
      <c r="G4" s="839"/>
      <c r="H4" s="837"/>
      <c r="I4" s="839"/>
      <c r="J4" s="836"/>
      <c r="K4" s="824"/>
      <c r="L4" s="826"/>
      <c r="M4" s="175"/>
      <c r="N4" s="242">
        <v>15</v>
      </c>
      <c r="O4" s="243">
        <f>F3</f>
        <v>80</v>
      </c>
      <c r="P4" s="243">
        <f>F5</f>
        <v>72</v>
      </c>
      <c r="Q4" s="372">
        <f ca="1">F18</f>
        <v>78.599999999999994</v>
      </c>
      <c r="R4" s="372">
        <f ca="1">F26</f>
        <v>71.400000000000006</v>
      </c>
    </row>
    <row r="5" spans="1:18" ht="23" customHeight="1">
      <c r="A5" s="834"/>
      <c r="B5" s="833" t="s">
        <v>308</v>
      </c>
      <c r="C5" s="835" t="s">
        <v>313</v>
      </c>
      <c r="D5" s="837">
        <v>74</v>
      </c>
      <c r="E5" s="840" t="s">
        <v>314</v>
      </c>
      <c r="F5" s="837">
        <v>72</v>
      </c>
      <c r="G5" s="840" t="s">
        <v>159</v>
      </c>
      <c r="H5" s="837">
        <v>72</v>
      </c>
      <c r="I5" s="840" t="s">
        <v>160</v>
      </c>
      <c r="J5" s="853">
        <v>72</v>
      </c>
      <c r="K5" s="823" t="s">
        <v>17</v>
      </c>
      <c r="L5" s="825">
        <f>AVERAGE(D5,F5,H5,J5)</f>
        <v>72.5</v>
      </c>
      <c r="M5" s="175"/>
      <c r="N5" s="242">
        <v>30</v>
      </c>
      <c r="O5" s="243">
        <f>H3</f>
        <v>74</v>
      </c>
      <c r="P5" s="243">
        <f>H5</f>
        <v>72</v>
      </c>
      <c r="Q5" s="372">
        <f ca="1">H18</f>
        <v>74.8</v>
      </c>
      <c r="R5" s="372">
        <f ca="1">H26</f>
        <v>69.8</v>
      </c>
    </row>
    <row r="6" spans="1:18" ht="23" customHeight="1">
      <c r="A6" s="834"/>
      <c r="B6" s="833"/>
      <c r="C6" s="835"/>
      <c r="D6" s="837"/>
      <c r="E6" s="839"/>
      <c r="F6" s="837"/>
      <c r="G6" s="839"/>
      <c r="H6" s="837"/>
      <c r="I6" s="839"/>
      <c r="J6" s="836"/>
      <c r="K6" s="824"/>
      <c r="L6" s="826"/>
      <c r="M6" s="175"/>
      <c r="N6" s="242">
        <v>45</v>
      </c>
      <c r="O6" s="243">
        <f>J3</f>
        <v>72</v>
      </c>
      <c r="P6" s="243">
        <f>J5</f>
        <v>72</v>
      </c>
      <c r="Q6" s="372">
        <f ca="1">J18</f>
        <v>69.8</v>
      </c>
      <c r="R6" s="372">
        <f ca="1">J26</f>
        <v>71.400000000000006</v>
      </c>
    </row>
    <row r="7" spans="1:18" ht="23" customHeight="1" thickBot="1">
      <c r="A7" s="314" t="s">
        <v>215</v>
      </c>
      <c r="B7" s="315">
        <v>3</v>
      </c>
      <c r="C7" s="356" t="s">
        <v>18</v>
      </c>
      <c r="D7" s="318">
        <f>AVERAGE(D3:D5)</f>
        <v>84.5</v>
      </c>
      <c r="E7" s="316" t="s">
        <v>19</v>
      </c>
      <c r="F7" s="318">
        <f>AVERAGE(F3:F5)</f>
        <v>76</v>
      </c>
      <c r="G7" s="316" t="s">
        <v>241</v>
      </c>
      <c r="H7" s="318">
        <f>AVERAGE(H3:H5)</f>
        <v>73</v>
      </c>
      <c r="I7" s="316" t="s">
        <v>700</v>
      </c>
      <c r="J7" s="318">
        <f>AVERAGE(J3:J5)</f>
        <v>72</v>
      </c>
      <c r="K7" s="316" t="s">
        <v>541</v>
      </c>
      <c r="L7" s="639">
        <f>AVERAGE(D7,F7,H7,J7)</f>
        <v>76.375</v>
      </c>
      <c r="M7" s="12"/>
      <c r="N7" s="1"/>
      <c r="O7" s="1"/>
    </row>
    <row r="8" spans="1:18" ht="23" customHeight="1">
      <c r="A8" s="265"/>
      <c r="B8" s="357"/>
      <c r="C8" s="358"/>
      <c r="D8" s="359"/>
      <c r="E8" s="208" t="s">
        <v>92</v>
      </c>
      <c r="F8" s="359">
        <v>0.05</v>
      </c>
      <c r="G8" s="359" t="s">
        <v>141</v>
      </c>
      <c r="H8" s="360">
        <v>0.95</v>
      </c>
      <c r="I8" s="358"/>
      <c r="J8" s="359"/>
      <c r="K8" s="358"/>
      <c r="L8" s="357"/>
      <c r="M8" s="12"/>
      <c r="N8" s="1"/>
      <c r="O8" s="1"/>
    </row>
    <row r="9" spans="1:18" ht="23" customHeight="1">
      <c r="A9" s="265"/>
      <c r="B9" s="361" t="s">
        <v>245</v>
      </c>
      <c r="C9" s="362">
        <v>4</v>
      </c>
      <c r="D9" s="361" t="s">
        <v>542</v>
      </c>
      <c r="E9" s="362">
        <v>2</v>
      </c>
      <c r="F9" s="361" t="s">
        <v>128</v>
      </c>
      <c r="G9" s="362">
        <v>5</v>
      </c>
      <c r="H9" s="266" t="s">
        <v>543</v>
      </c>
      <c r="I9" s="362">
        <f>G9*E9</f>
        <v>10</v>
      </c>
      <c r="J9" s="266" t="s">
        <v>544</v>
      </c>
      <c r="K9" s="362">
        <f>G9*C9</f>
        <v>20</v>
      </c>
      <c r="L9" s="357"/>
      <c r="M9" s="12"/>
    </row>
    <row r="10" spans="1:18" ht="23" customHeight="1">
      <c r="A10" s="265"/>
      <c r="B10" s="266"/>
      <c r="C10" s="851" t="s">
        <v>519</v>
      </c>
      <c r="D10" s="851"/>
      <c r="E10" s="851"/>
      <c r="F10" s="851"/>
      <c r="G10" s="851"/>
      <c r="H10" s="851"/>
      <c r="I10" s="851"/>
      <c r="J10" s="851"/>
      <c r="K10" s="267"/>
      <c r="L10" s="212"/>
      <c r="M10" s="10"/>
    </row>
    <row r="11" spans="1:18" ht="23" customHeight="1" thickBot="1">
      <c r="A11" s="289"/>
      <c r="B11" s="285"/>
      <c r="C11" s="846" t="s">
        <v>189</v>
      </c>
      <c r="D11" s="847"/>
      <c r="E11" s="848" t="s">
        <v>453</v>
      </c>
      <c r="F11" s="849"/>
      <c r="G11" s="848" t="s">
        <v>457</v>
      </c>
      <c r="H11" s="849"/>
      <c r="I11" s="850" t="s">
        <v>484</v>
      </c>
      <c r="J11" s="849"/>
      <c r="K11" s="286"/>
      <c r="L11" s="287"/>
      <c r="M11" s="11"/>
    </row>
    <row r="12" spans="1:18" ht="23" customHeight="1" thickTop="1" thickBot="1">
      <c r="A12" s="827" t="s">
        <v>272</v>
      </c>
      <c r="B12" s="820" t="s">
        <v>521</v>
      </c>
      <c r="C12" s="186" t="s">
        <v>518</v>
      </c>
      <c r="D12" s="278">
        <f ca="1">ROUND(NORMINV(RAND(),D$3,$B$7),0)</f>
        <v>101</v>
      </c>
      <c r="E12" s="186" t="s">
        <v>409</v>
      </c>
      <c r="F12" s="278">
        <f t="shared" ref="F12:F16" ca="1" si="0">ROUND(NORMINV(RAND(),F$3,$B$7),0)</f>
        <v>77</v>
      </c>
      <c r="G12" s="186" t="s">
        <v>410</v>
      </c>
      <c r="H12" s="288">
        <f t="shared" ref="H12:H16" ca="1" si="1">ROUND(NORMINV(RAND(),H$3,$B$7),0)</f>
        <v>76</v>
      </c>
      <c r="I12" s="186" t="s">
        <v>198</v>
      </c>
      <c r="J12" s="278">
        <f t="shared" ref="J12:J16" ca="1" si="2">ROUND(NORMINV(RAND(),J$3,$B$7),0)</f>
        <v>68</v>
      </c>
      <c r="K12" s="268"/>
      <c r="L12" s="234"/>
      <c r="M12" s="10"/>
      <c r="N12" s="177"/>
    </row>
    <row r="13" spans="1:18" ht="23" customHeight="1" thickBot="1">
      <c r="A13" s="828"/>
      <c r="B13" s="821"/>
      <c r="C13" s="186" t="s">
        <v>199</v>
      </c>
      <c r="D13" s="278">
        <f t="shared" ref="D13:D16" ca="1" si="3">ROUND(NORMINV(RAND(),D$3,$B$7),0)</f>
        <v>94</v>
      </c>
      <c r="E13" s="186" t="s">
        <v>200</v>
      </c>
      <c r="F13" s="278">
        <f t="shared" ca="1" si="0"/>
        <v>79</v>
      </c>
      <c r="G13" s="186" t="s">
        <v>201</v>
      </c>
      <c r="H13" s="278">
        <f t="shared" ca="1" si="1"/>
        <v>73</v>
      </c>
      <c r="I13" s="186" t="s">
        <v>202</v>
      </c>
      <c r="J13" s="278">
        <f t="shared" ca="1" si="2"/>
        <v>71</v>
      </c>
      <c r="K13" s="268"/>
      <c r="L13" s="234"/>
      <c r="M13" s="10"/>
      <c r="N13" s="177"/>
    </row>
    <row r="14" spans="1:18" ht="23" customHeight="1" thickBot="1">
      <c r="A14" s="828"/>
      <c r="B14" s="821"/>
      <c r="C14" s="186" t="s">
        <v>2</v>
      </c>
      <c r="D14" s="278">
        <f t="shared" ca="1" si="3"/>
        <v>95</v>
      </c>
      <c r="E14" s="186" t="s">
        <v>21</v>
      </c>
      <c r="F14" s="278">
        <f t="shared" ca="1" si="0"/>
        <v>84</v>
      </c>
      <c r="G14" s="186" t="s">
        <v>168</v>
      </c>
      <c r="H14" s="278">
        <f t="shared" ca="1" si="1"/>
        <v>79</v>
      </c>
      <c r="I14" s="186" t="s">
        <v>23</v>
      </c>
      <c r="J14" s="278">
        <f t="shared" ca="1" si="2"/>
        <v>66</v>
      </c>
      <c r="K14" s="269"/>
      <c r="L14" s="234"/>
      <c r="M14" s="10"/>
      <c r="N14" s="177"/>
    </row>
    <row r="15" spans="1:18" ht="23" customHeight="1" thickBot="1">
      <c r="A15" s="828"/>
      <c r="B15" s="821"/>
      <c r="C15" s="186" t="s">
        <v>24</v>
      </c>
      <c r="D15" s="278">
        <f t="shared" ca="1" si="3"/>
        <v>95</v>
      </c>
      <c r="E15" s="186" t="s">
        <v>25</v>
      </c>
      <c r="F15" s="278">
        <f t="shared" ca="1" si="0"/>
        <v>76</v>
      </c>
      <c r="G15" s="186" t="s">
        <v>173</v>
      </c>
      <c r="H15" s="278">
        <f t="shared" ca="1" si="1"/>
        <v>72</v>
      </c>
      <c r="I15" s="186" t="s">
        <v>176</v>
      </c>
      <c r="J15" s="278">
        <f t="shared" ca="1" si="2"/>
        <v>71</v>
      </c>
      <c r="K15" s="269"/>
      <c r="L15" s="234"/>
      <c r="M15" s="10"/>
      <c r="N15" s="177"/>
    </row>
    <row r="16" spans="1:18" ht="23" customHeight="1" thickBot="1">
      <c r="A16" s="828"/>
      <c r="B16" s="821"/>
      <c r="C16" s="253" t="s">
        <v>177</v>
      </c>
      <c r="D16" s="279">
        <f t="shared" ca="1" si="3"/>
        <v>94</v>
      </c>
      <c r="E16" s="253" t="s">
        <v>178</v>
      </c>
      <c r="F16" s="279">
        <f t="shared" ca="1" si="0"/>
        <v>77</v>
      </c>
      <c r="G16" s="253" t="s">
        <v>333</v>
      </c>
      <c r="H16" s="279">
        <f t="shared" ca="1" si="1"/>
        <v>74</v>
      </c>
      <c r="I16" s="253" t="s">
        <v>334</v>
      </c>
      <c r="J16" s="279">
        <f t="shared" ca="1" si="2"/>
        <v>73</v>
      </c>
      <c r="K16" s="269"/>
      <c r="L16" s="234"/>
      <c r="M16" s="10"/>
      <c r="N16" s="177"/>
    </row>
    <row r="17" spans="1:16" ht="23" customHeight="1" thickBot="1">
      <c r="A17" s="828"/>
      <c r="B17" s="821"/>
      <c r="C17" s="186" t="s">
        <v>504</v>
      </c>
      <c r="D17" s="280">
        <f ca="1">SUM(D12:D16)</f>
        <v>479</v>
      </c>
      <c r="E17" s="186" t="s">
        <v>505</v>
      </c>
      <c r="F17" s="280">
        <f ca="1">SUM(F12:F16)</f>
        <v>393</v>
      </c>
      <c r="G17" s="186" t="s">
        <v>506</v>
      </c>
      <c r="H17" s="280">
        <f ca="1">SUM(H12:H16)</f>
        <v>374</v>
      </c>
      <c r="I17" s="186" t="s">
        <v>442</v>
      </c>
      <c r="J17" s="280">
        <f ca="1">SUM(J12:J16)</f>
        <v>349</v>
      </c>
      <c r="K17" s="186" t="s">
        <v>443</v>
      </c>
      <c r="L17" s="191">
        <f ca="1">D17+F17+H17+J17</f>
        <v>1595</v>
      </c>
      <c r="M17" s="38"/>
      <c r="N17" s="177"/>
    </row>
    <row r="18" spans="1:16" ht="23" customHeight="1" thickBot="1">
      <c r="A18" s="828"/>
      <c r="B18" s="821"/>
      <c r="C18" s="186" t="s">
        <v>20</v>
      </c>
      <c r="D18" s="281">
        <f ca="1">D17/$G$9</f>
        <v>95.8</v>
      </c>
      <c r="E18" s="186" t="s">
        <v>165</v>
      </c>
      <c r="F18" s="281">
        <f ca="1">F17/$G$9</f>
        <v>78.599999999999994</v>
      </c>
      <c r="G18" s="186" t="s">
        <v>166</v>
      </c>
      <c r="H18" s="281">
        <f ca="1">H17/$G$9</f>
        <v>74.8</v>
      </c>
      <c r="I18" s="186" t="s">
        <v>167</v>
      </c>
      <c r="J18" s="281">
        <f ca="1">J17/$G$9</f>
        <v>69.8</v>
      </c>
      <c r="K18" s="186" t="s">
        <v>663</v>
      </c>
      <c r="L18" s="271">
        <f ca="1">L17/$K$9</f>
        <v>79.75</v>
      </c>
      <c r="M18" s="176"/>
      <c r="N18" s="177"/>
    </row>
    <row r="19" spans="1:16" ht="23" customHeight="1" thickBot="1">
      <c r="A19" s="828"/>
      <c r="B19" s="821"/>
      <c r="C19" s="272" t="s">
        <v>304</v>
      </c>
      <c r="D19" s="282">
        <f ca="1">VAR(D12:D16)</f>
        <v>8.7000000000007276</v>
      </c>
      <c r="E19" s="214" t="s">
        <v>305</v>
      </c>
      <c r="F19" s="282">
        <f ca="1">VAR(F12:F16)</f>
        <v>10.300000000000182</v>
      </c>
      <c r="G19" s="214" t="s">
        <v>234</v>
      </c>
      <c r="H19" s="282">
        <f ca="1">VAR(H12:H16)</f>
        <v>7.6999999999998181</v>
      </c>
      <c r="I19" s="214" t="s">
        <v>235</v>
      </c>
      <c r="J19" s="282">
        <f ca="1">VAR(J12:J16)</f>
        <v>7.6999999999998181</v>
      </c>
      <c r="K19" s="275"/>
      <c r="L19" s="275"/>
      <c r="M19" s="36"/>
      <c r="N19" s="177"/>
    </row>
    <row r="20" spans="1:16" ht="23" customHeight="1">
      <c r="A20" s="828"/>
      <c r="B20" s="841" t="s">
        <v>520</v>
      </c>
      <c r="C20" s="186" t="s">
        <v>664</v>
      </c>
      <c r="D20" s="278">
        <f ca="1">ROUND(NORMINV(RAND(),D$5,$B$7),0)</f>
        <v>73</v>
      </c>
      <c r="E20" s="186" t="s">
        <v>665</v>
      </c>
      <c r="F20" s="278">
        <f t="shared" ref="F20:F24" ca="1" si="4">ROUND(NORMINV(RAND(),F$5,$B$7),0)</f>
        <v>70</v>
      </c>
      <c r="G20" s="186" t="s">
        <v>545</v>
      </c>
      <c r="H20" s="278">
        <f t="shared" ref="H20:H24" ca="1" si="5">ROUND(NORMINV(RAND(),H$5,$B$7),0)</f>
        <v>67</v>
      </c>
      <c r="I20" s="186" t="s">
        <v>546</v>
      </c>
      <c r="J20" s="278">
        <f t="shared" ref="J20:J24" ca="1" si="6">ROUND(NORMINV(RAND(),J$5,$B$7),0)</f>
        <v>70</v>
      </c>
      <c r="K20" s="269"/>
      <c r="L20" s="234"/>
      <c r="M20" s="12"/>
      <c r="N20" s="177"/>
    </row>
    <row r="21" spans="1:16" ht="23" customHeight="1">
      <c r="A21" s="828"/>
      <c r="B21" s="841"/>
      <c r="C21" s="186" t="s">
        <v>547</v>
      </c>
      <c r="D21" s="278">
        <f t="shared" ref="D21:D24" ca="1" si="7">ROUND(NORMINV(RAND(),D$5,$B$7),0)</f>
        <v>74</v>
      </c>
      <c r="E21" s="186" t="s">
        <v>548</v>
      </c>
      <c r="F21" s="278">
        <f t="shared" ca="1" si="4"/>
        <v>73</v>
      </c>
      <c r="G21" s="186" t="s">
        <v>254</v>
      </c>
      <c r="H21" s="278">
        <f t="shared" ca="1" si="5"/>
        <v>69</v>
      </c>
      <c r="I21" s="186" t="s">
        <v>416</v>
      </c>
      <c r="J21" s="278">
        <f t="shared" ca="1" si="6"/>
        <v>73</v>
      </c>
      <c r="K21" s="270"/>
      <c r="L21" s="234"/>
      <c r="M21" s="19"/>
      <c r="N21" s="177"/>
    </row>
    <row r="22" spans="1:16" ht="23" customHeight="1">
      <c r="A22" s="828"/>
      <c r="B22" s="841"/>
      <c r="C22" s="186" t="s">
        <v>95</v>
      </c>
      <c r="D22" s="278">
        <f t="shared" ca="1" si="7"/>
        <v>76</v>
      </c>
      <c r="E22" s="186" t="s">
        <v>96</v>
      </c>
      <c r="F22" s="278">
        <f t="shared" ca="1" si="4"/>
        <v>68</v>
      </c>
      <c r="G22" s="186" t="s">
        <v>97</v>
      </c>
      <c r="H22" s="278">
        <f t="shared" ca="1" si="5"/>
        <v>70</v>
      </c>
      <c r="I22" s="186" t="s">
        <v>98</v>
      </c>
      <c r="J22" s="278">
        <f t="shared" ca="1" si="6"/>
        <v>70</v>
      </c>
      <c r="K22" s="234"/>
      <c r="L22" s="234"/>
      <c r="M22" s="12"/>
      <c r="N22" s="177"/>
    </row>
    <row r="23" spans="1:16" ht="23" customHeight="1">
      <c r="A23" s="828"/>
      <c r="B23" s="841"/>
      <c r="C23" s="186" t="s">
        <v>99</v>
      </c>
      <c r="D23" s="278">
        <f t="shared" ca="1" si="7"/>
        <v>66</v>
      </c>
      <c r="E23" s="186" t="s">
        <v>581</v>
      </c>
      <c r="F23" s="278">
        <f t="shared" ca="1" si="4"/>
        <v>69</v>
      </c>
      <c r="G23" s="186" t="s">
        <v>144</v>
      </c>
      <c r="H23" s="278">
        <f t="shared" ca="1" si="5"/>
        <v>68</v>
      </c>
      <c r="I23" s="186" t="s">
        <v>145</v>
      </c>
      <c r="J23" s="278">
        <f t="shared" ca="1" si="6"/>
        <v>73</v>
      </c>
      <c r="K23" s="234"/>
      <c r="L23" s="234"/>
      <c r="M23" s="18"/>
      <c r="N23" s="177"/>
    </row>
    <row r="24" spans="1:16" ht="23" customHeight="1">
      <c r="A24" s="828"/>
      <c r="B24" s="841"/>
      <c r="C24" s="253" t="s">
        <v>291</v>
      </c>
      <c r="D24" s="279">
        <f t="shared" ca="1" si="7"/>
        <v>73</v>
      </c>
      <c r="E24" s="253" t="s">
        <v>292</v>
      </c>
      <c r="F24" s="279">
        <f t="shared" ca="1" si="4"/>
        <v>77</v>
      </c>
      <c r="G24" s="253" t="s">
        <v>293</v>
      </c>
      <c r="H24" s="279">
        <f t="shared" ca="1" si="5"/>
        <v>75</v>
      </c>
      <c r="I24" s="253" t="s">
        <v>148</v>
      </c>
      <c r="J24" s="279">
        <f t="shared" ca="1" si="6"/>
        <v>71</v>
      </c>
      <c r="K24" s="234"/>
      <c r="L24" s="234"/>
      <c r="M24" s="12"/>
      <c r="N24" s="177"/>
    </row>
    <row r="25" spans="1:16" ht="23" customHeight="1">
      <c r="A25" s="828"/>
      <c r="B25" s="841"/>
      <c r="C25" s="186" t="s">
        <v>221</v>
      </c>
      <c r="D25" s="280">
        <f ca="1">SUM(D20:D24)</f>
        <v>362</v>
      </c>
      <c r="E25" s="186" t="s">
        <v>88</v>
      </c>
      <c r="F25" s="280">
        <f ca="1">SUM(F20:F24)</f>
        <v>357</v>
      </c>
      <c r="G25" s="186" t="s">
        <v>475</v>
      </c>
      <c r="H25" s="280">
        <f ca="1">SUM(H20:H24)</f>
        <v>349</v>
      </c>
      <c r="I25" s="186" t="s">
        <v>476</v>
      </c>
      <c r="J25" s="280">
        <f ca="1">SUM(J20:J24)</f>
        <v>357</v>
      </c>
      <c r="K25" s="186" t="s">
        <v>477</v>
      </c>
      <c r="L25" s="191">
        <f ca="1">D25+F25+H25+J25</f>
        <v>1425</v>
      </c>
      <c r="M25" s="176"/>
      <c r="N25" s="177"/>
    </row>
    <row r="26" spans="1:16" ht="23" customHeight="1">
      <c r="A26" s="828"/>
      <c r="B26" s="841"/>
      <c r="C26" s="186" t="s">
        <v>222</v>
      </c>
      <c r="D26" s="281">
        <f ca="1">D25/$G$9</f>
        <v>72.400000000000006</v>
      </c>
      <c r="E26" s="186" t="s">
        <v>417</v>
      </c>
      <c r="F26" s="281">
        <f ca="1">F25/$G$9</f>
        <v>71.400000000000006</v>
      </c>
      <c r="G26" s="186" t="s">
        <v>418</v>
      </c>
      <c r="H26" s="281">
        <f ca="1">H25/$G$9</f>
        <v>69.8</v>
      </c>
      <c r="I26" s="186" t="s">
        <v>419</v>
      </c>
      <c r="J26" s="281">
        <f ca="1">J25/$G$9</f>
        <v>71.400000000000006</v>
      </c>
      <c r="K26" s="186" t="s">
        <v>420</v>
      </c>
      <c r="L26" s="271">
        <f ca="1">L25/$K$9</f>
        <v>71.25</v>
      </c>
      <c r="M26" s="176"/>
      <c r="N26" s="177"/>
    </row>
    <row r="27" spans="1:16" ht="23" customHeight="1" thickBot="1">
      <c r="A27" s="829"/>
      <c r="B27" s="842"/>
      <c r="C27" s="283" t="s">
        <v>85</v>
      </c>
      <c r="D27" s="284">
        <f ca="1">VAR(D20:D24)</f>
        <v>14.300000000000182</v>
      </c>
      <c r="E27" s="276" t="s">
        <v>0</v>
      </c>
      <c r="F27" s="284">
        <f ca="1">VAR(F20:F24)</f>
        <v>13.300000000000182</v>
      </c>
      <c r="G27" s="276" t="s">
        <v>91</v>
      </c>
      <c r="H27" s="284">
        <f ca="1">VAR(H20:H24)</f>
        <v>9.6999999999998181</v>
      </c>
      <c r="I27" s="276" t="s">
        <v>253</v>
      </c>
      <c r="J27" s="284">
        <f ca="1">VAR(J20:J24)</f>
        <v>2.3000000000001819</v>
      </c>
      <c r="K27" s="274"/>
      <c r="L27" s="274"/>
      <c r="M27" s="36"/>
      <c r="N27" s="177"/>
    </row>
    <row r="28" spans="1:16" ht="23" customHeight="1">
      <c r="A28" s="273"/>
      <c r="B28" s="277"/>
      <c r="C28" s="186" t="s">
        <v>580</v>
      </c>
      <c r="D28" s="278">
        <f ca="1">D17+D25</f>
        <v>841</v>
      </c>
      <c r="E28" s="186" t="s">
        <v>478</v>
      </c>
      <c r="F28" s="278">
        <f ca="1">F17+F25</f>
        <v>750</v>
      </c>
      <c r="G28" s="186" t="s">
        <v>479</v>
      </c>
      <c r="H28" s="278">
        <f ca="1">H17+H25</f>
        <v>723</v>
      </c>
      <c r="I28" s="186" t="s">
        <v>480</v>
      </c>
      <c r="J28" s="278">
        <f ca="1">J17+J25</f>
        <v>706</v>
      </c>
      <c r="K28" s="186" t="s">
        <v>162</v>
      </c>
      <c r="L28" s="191">
        <f ca="1">SUM(D12:J16,D20:J24)</f>
        <v>3020</v>
      </c>
      <c r="M28" s="38"/>
    </row>
    <row r="29" spans="1:16" ht="23" customHeight="1">
      <c r="A29" s="273"/>
      <c r="B29" s="277"/>
      <c r="C29" s="186" t="s">
        <v>163</v>
      </c>
      <c r="D29" s="281">
        <f ca="1">D28/$I$9</f>
        <v>84.1</v>
      </c>
      <c r="E29" s="186" t="s">
        <v>164</v>
      </c>
      <c r="F29" s="281">
        <f ca="1">F28/$I$9</f>
        <v>75</v>
      </c>
      <c r="G29" s="186" t="s">
        <v>329</v>
      </c>
      <c r="H29" s="281">
        <f ca="1">H28/$I$9</f>
        <v>72.3</v>
      </c>
      <c r="I29" s="186" t="s">
        <v>330</v>
      </c>
      <c r="J29" s="281">
        <f ca="1">J28/$I$9</f>
        <v>70.599999999999994</v>
      </c>
      <c r="K29" s="186" t="s">
        <v>331</v>
      </c>
      <c r="L29" s="191">
        <f>G9*E9*C9</f>
        <v>40</v>
      </c>
      <c r="M29" s="12"/>
    </row>
    <row r="30" spans="1:16" ht="23" customHeight="1" thickBot="1">
      <c r="A30" s="290"/>
      <c r="B30" s="312"/>
      <c r="C30" s="276"/>
      <c r="D30" s="284"/>
      <c r="E30" s="276"/>
      <c r="F30" s="284"/>
      <c r="G30" s="276"/>
      <c r="H30" s="284"/>
      <c r="I30" s="276"/>
      <c r="J30" s="284"/>
      <c r="K30" s="276" t="s">
        <v>382</v>
      </c>
      <c r="L30" s="313">
        <f ca="1">L28/L29</f>
        <v>75.5</v>
      </c>
      <c r="M30" s="12"/>
    </row>
    <row r="31" spans="1:16" ht="23" customHeight="1">
      <c r="A31" s="322"/>
      <c r="B31" s="323" t="s">
        <v>332</v>
      </c>
      <c r="C31" s="324">
        <f ca="1">SUMSQ(D12:J16,D20:J24)-SUMSQ(D17:J17,D25:J25)/G9</f>
        <v>296</v>
      </c>
      <c r="D31" s="325"/>
      <c r="E31" s="326" t="s">
        <v>122</v>
      </c>
      <c r="F31" s="322"/>
      <c r="G31" s="326"/>
      <c r="H31" s="327"/>
      <c r="I31" s="326"/>
      <c r="J31" s="327"/>
      <c r="K31" s="323"/>
      <c r="L31" s="328"/>
      <c r="M31" s="12"/>
      <c r="P31" s="14"/>
    </row>
    <row r="32" spans="1:16" ht="23" customHeight="1">
      <c r="A32" s="322"/>
      <c r="B32" s="329" t="s">
        <v>147</v>
      </c>
      <c r="C32" s="330">
        <f>C9*E9*(G9-1)</f>
        <v>32</v>
      </c>
      <c r="D32" s="331"/>
      <c r="E32" s="334" t="s">
        <v>278</v>
      </c>
      <c r="F32" s="332" t="s">
        <v>139</v>
      </c>
      <c r="G32" s="334" t="s">
        <v>582</v>
      </c>
      <c r="H32" s="332" t="s">
        <v>583</v>
      </c>
      <c r="I32" s="334" t="s">
        <v>584</v>
      </c>
      <c r="J32" s="332" t="s">
        <v>276</v>
      </c>
      <c r="K32" s="344" t="s">
        <v>294</v>
      </c>
      <c r="L32" s="327"/>
      <c r="M32" s="12"/>
      <c r="N32" s="174"/>
    </row>
    <row r="33" spans="1:14" ht="23" customHeight="1">
      <c r="A33" s="322"/>
      <c r="B33" s="323" t="s">
        <v>612</v>
      </c>
      <c r="C33" s="326">
        <f ca="1">(C31/C32)</f>
        <v>9.25</v>
      </c>
      <c r="D33" s="326"/>
      <c r="E33" s="327" t="s">
        <v>368</v>
      </c>
      <c r="F33" s="347">
        <f>C9*E9-1</f>
        <v>7</v>
      </c>
      <c r="G33" s="350">
        <f ca="1">SUMSQ(C17:J17,C25:J25)/G9-L28^2/L29</f>
        <v>2652</v>
      </c>
      <c r="H33" s="327"/>
      <c r="I33" s="327"/>
      <c r="J33" s="327"/>
      <c r="K33" s="327"/>
      <c r="L33" s="327"/>
      <c r="M33" s="13"/>
      <c r="N33" s="175"/>
    </row>
    <row r="34" spans="1:14" ht="23" customHeight="1">
      <c r="A34" s="332"/>
      <c r="B34" s="333" t="s">
        <v>379</v>
      </c>
      <c r="C34" s="334">
        <f ca="1">SQRT(C33)</f>
        <v>3.0413812651491097</v>
      </c>
      <c r="D34" s="327"/>
      <c r="E34" s="323" t="s">
        <v>277</v>
      </c>
      <c r="F34" s="348">
        <f>C9-1</f>
        <v>3</v>
      </c>
      <c r="G34" s="351">
        <f ca="1">SUMSQ(C28:J28)/I9-L28^2/L29</f>
        <v>1084.6000000000058</v>
      </c>
      <c r="H34" s="640">
        <f ca="1">G34/F34</f>
        <v>361.53333333333529</v>
      </c>
      <c r="I34" s="387">
        <f ca="1">H34/$H$37</f>
        <v>39.084684684684895</v>
      </c>
      <c r="J34" s="387">
        <f>FINV($F$8,F34,$F$37)</f>
        <v>2.9011195881551242</v>
      </c>
      <c r="K34" s="822" t="str">
        <f ca="1">IF(I34&gt;J34,"Reject", "Don't reject")</f>
        <v>Reject</v>
      </c>
      <c r="L34" s="822"/>
      <c r="M34" s="18"/>
      <c r="N34" s="175"/>
    </row>
    <row r="35" spans="1:14" ht="23" customHeight="1">
      <c r="A35" s="335"/>
      <c r="B35" s="336" t="s">
        <v>644</v>
      </c>
      <c r="C35" s="337"/>
      <c r="D35" s="338"/>
      <c r="E35" s="338" t="s">
        <v>444</v>
      </c>
      <c r="F35" s="348">
        <f>E9-1</f>
        <v>1</v>
      </c>
      <c r="G35" s="338">
        <f ca="1">SUMSQ(L17,L25)/K9-L28^2/L29</f>
        <v>722.5</v>
      </c>
      <c r="H35" s="640">
        <f t="shared" ref="H35:H37" ca="1" si="8">G35/F35</f>
        <v>722.5</v>
      </c>
      <c r="I35" s="387">
        <f t="shared" ref="I35:I36" ca="1" si="9">H35/$H$37</f>
        <v>78.108108108108112</v>
      </c>
      <c r="J35" s="387">
        <f>FINV($F$8,F35,$F$37)</f>
        <v>4.1490974088185517</v>
      </c>
      <c r="K35" s="822" t="str">
        <f t="shared" ref="K35:K36" ca="1" si="10">IF(I35&gt;J35,"Reject", "Don't reject")</f>
        <v>Reject</v>
      </c>
      <c r="L35" s="822"/>
      <c r="M35" s="175"/>
      <c r="N35" s="178"/>
    </row>
    <row r="36" spans="1:14" ht="23" customHeight="1">
      <c r="A36" s="322"/>
      <c r="B36" s="323" t="s">
        <v>522</v>
      </c>
      <c r="C36" s="339">
        <f>C32</f>
        <v>32</v>
      </c>
      <c r="D36" s="327"/>
      <c r="E36" s="346" t="s">
        <v>639</v>
      </c>
      <c r="F36" s="348">
        <f>F34*F35</f>
        <v>3</v>
      </c>
      <c r="G36" s="351">
        <f ca="1">G33-(G34+G35)</f>
        <v>844.89999999999418</v>
      </c>
      <c r="H36" s="640">
        <f t="shared" ca="1" si="8"/>
        <v>281.63333333333139</v>
      </c>
      <c r="I36" s="387">
        <f t="shared" ca="1" si="9"/>
        <v>30.446846846846636</v>
      </c>
      <c r="J36" s="387">
        <f>FINV($F$8,F36,$F$37)</f>
        <v>2.9011195881551242</v>
      </c>
      <c r="K36" s="822" t="str">
        <f t="shared" ca="1" si="10"/>
        <v>Reject</v>
      </c>
      <c r="L36" s="822"/>
      <c r="M36" s="175"/>
      <c r="N36" s="264"/>
    </row>
    <row r="37" spans="1:14" ht="23" customHeight="1">
      <c r="A37" s="322"/>
      <c r="B37" s="323" t="s">
        <v>40</v>
      </c>
      <c r="C37" s="340">
        <f>TINV(1-H8,C32)</f>
        <v>2.0369333344070331</v>
      </c>
      <c r="D37" s="327"/>
      <c r="E37" s="345" t="s">
        <v>640</v>
      </c>
      <c r="F37" s="347">
        <f>C9*E9*(G9-1)</f>
        <v>32</v>
      </c>
      <c r="G37" s="353">
        <f ca="1">SUMSQ(C12:J16,C20:J24)-SUMSQ(C17:J17,C25:J25)/G9</f>
        <v>296</v>
      </c>
      <c r="H37" s="352">
        <f t="shared" ca="1" si="8"/>
        <v>9.25</v>
      </c>
      <c r="I37" s="345"/>
      <c r="J37" s="327"/>
      <c r="K37" s="327"/>
      <c r="L37" s="327"/>
      <c r="M37" s="175"/>
      <c r="N37" s="179"/>
    </row>
    <row r="38" spans="1:14" ht="23" customHeight="1">
      <c r="A38" s="322"/>
      <c r="B38" s="323" t="s">
        <v>41</v>
      </c>
      <c r="C38" s="341">
        <f ca="1">C34/SQRT(G9)</f>
        <v>1.3601470508735443</v>
      </c>
      <c r="D38" s="327"/>
      <c r="E38" s="321" t="s">
        <v>641</v>
      </c>
      <c r="F38" s="349">
        <f>F33+F37</f>
        <v>39</v>
      </c>
      <c r="G38" s="354">
        <f ca="1">G33+G37</f>
        <v>2948</v>
      </c>
      <c r="H38" s="344"/>
      <c r="I38" s="326"/>
      <c r="J38" s="344"/>
      <c r="K38" s="327"/>
      <c r="L38" s="327"/>
      <c r="M38" s="175"/>
      <c r="N38" s="17"/>
    </row>
    <row r="39" spans="1:14" ht="23" customHeight="1">
      <c r="A39" s="322"/>
      <c r="B39" s="342" t="s">
        <v>94</v>
      </c>
      <c r="C39" s="343">
        <f ca="1">C37*C38</f>
        <v>2.770528867619741</v>
      </c>
      <c r="D39" s="327"/>
      <c r="E39" s="326"/>
      <c r="F39" s="327"/>
      <c r="G39" s="326"/>
      <c r="H39" s="327"/>
      <c r="I39" s="326"/>
      <c r="J39" s="327"/>
      <c r="K39" s="327"/>
      <c r="L39" s="327"/>
      <c r="M39" s="12"/>
      <c r="N39" s="17"/>
    </row>
    <row r="40" spans="1:14" ht="19" customHeight="1">
      <c r="B40" s="13"/>
      <c r="C40" s="13"/>
      <c r="D40" s="13"/>
      <c r="E40" s="13"/>
      <c r="F40" s="39"/>
      <c r="G40" s="320"/>
      <c r="H40" s="13"/>
      <c r="I40" s="13"/>
      <c r="J40" s="13"/>
      <c r="K40" s="13"/>
      <c r="L40" s="13"/>
      <c r="M40" s="12"/>
      <c r="N40" s="25"/>
    </row>
    <row r="41" spans="1:14">
      <c r="D41" s="13"/>
      <c r="E41" s="13"/>
      <c r="F41" s="13"/>
      <c r="G41" s="13"/>
      <c r="H41" s="13"/>
      <c r="I41" s="13"/>
      <c r="J41" s="13"/>
      <c r="K41" s="13"/>
      <c r="L41" s="13"/>
      <c r="M41" s="12"/>
      <c r="N41" s="179"/>
    </row>
    <row r="42" spans="1:14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2"/>
      <c r="N42" s="176"/>
    </row>
    <row r="43" spans="1:14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2"/>
      <c r="N43" s="179"/>
    </row>
    <row r="44" spans="1:14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2"/>
      <c r="N44" s="25"/>
    </row>
    <row r="45" spans="1:14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2"/>
      <c r="N45" s="25"/>
    </row>
    <row r="46" spans="1:14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2"/>
      <c r="N46" s="25"/>
    </row>
    <row r="47" spans="1:14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25"/>
    </row>
    <row r="48" spans="1:14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74"/>
    </row>
    <row r="49" spans="2:14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74"/>
    </row>
    <row r="50" spans="2:14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74"/>
    </row>
    <row r="51" spans="2:14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74"/>
    </row>
  </sheetData>
  <mergeCells count="36">
    <mergeCell ref="A1:B2"/>
    <mergeCell ref="C11:D11"/>
    <mergeCell ref="E11:F11"/>
    <mergeCell ref="G11:H11"/>
    <mergeCell ref="I11:J11"/>
    <mergeCell ref="C10:J10"/>
    <mergeCell ref="J3:J4"/>
    <mergeCell ref="J5:J6"/>
    <mergeCell ref="H5:H6"/>
    <mergeCell ref="I3:I4"/>
    <mergeCell ref="I5:I6"/>
    <mergeCell ref="G5:G6"/>
    <mergeCell ref="A12:A27"/>
    <mergeCell ref="C1:J1"/>
    <mergeCell ref="B3:B4"/>
    <mergeCell ref="B5:B6"/>
    <mergeCell ref="A3:A6"/>
    <mergeCell ref="C3:C4"/>
    <mergeCell ref="D3:D4"/>
    <mergeCell ref="C5:C6"/>
    <mergeCell ref="D5:D6"/>
    <mergeCell ref="E3:E4"/>
    <mergeCell ref="E5:E6"/>
    <mergeCell ref="F3:F4"/>
    <mergeCell ref="F5:F6"/>
    <mergeCell ref="G3:G4"/>
    <mergeCell ref="B20:B27"/>
    <mergeCell ref="H3:H4"/>
    <mergeCell ref="B12:B19"/>
    <mergeCell ref="K34:L34"/>
    <mergeCell ref="K35:L35"/>
    <mergeCell ref="K36:L36"/>
    <mergeCell ref="K3:K4"/>
    <mergeCell ref="L3:L4"/>
    <mergeCell ref="K5:K6"/>
    <mergeCell ref="L5:L6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2"/>
  <sheetViews>
    <sheetView zoomScale="90" workbookViewId="0">
      <selection activeCell="V41" sqref="V41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19" customWidth="1"/>
    <col min="16" max="37" width="9.59765625" style="1" customWidth="1"/>
    <col min="38" max="16384" width="10.69921875" style="1"/>
  </cols>
  <sheetData>
    <row r="1" spans="1:20" ht="23" customHeight="1">
      <c r="A1" s="843" t="s">
        <v>109</v>
      </c>
      <c r="B1" s="844"/>
      <c r="C1" s="830" t="s">
        <v>519</v>
      </c>
      <c r="D1" s="830"/>
      <c r="E1" s="830"/>
      <c r="F1" s="830"/>
      <c r="G1" s="830"/>
      <c r="H1" s="830"/>
      <c r="I1" s="830"/>
      <c r="J1" s="830"/>
      <c r="K1" s="319"/>
      <c r="L1" s="319"/>
      <c r="N1" s="444"/>
      <c r="O1" s="445"/>
      <c r="P1" s="445"/>
      <c r="Q1" s="29" t="s">
        <v>182</v>
      </c>
      <c r="R1" s="445"/>
      <c r="S1" s="445"/>
      <c r="T1" s="445"/>
    </row>
    <row r="2" spans="1:20" ht="23" customHeight="1">
      <c r="A2" s="845"/>
      <c r="B2" s="845"/>
      <c r="C2" s="363" t="s">
        <v>110</v>
      </c>
      <c r="D2" s="365">
        <v>1</v>
      </c>
      <c r="E2" s="364" t="s">
        <v>3</v>
      </c>
      <c r="F2" s="365">
        <v>15</v>
      </c>
      <c r="G2" s="364" t="s">
        <v>4</v>
      </c>
      <c r="H2" s="365">
        <v>30</v>
      </c>
      <c r="I2" s="364" t="s">
        <v>5</v>
      </c>
      <c r="J2" s="365">
        <v>45</v>
      </c>
      <c r="K2" s="166"/>
      <c r="L2" s="166"/>
      <c r="M2" s="175"/>
      <c r="N2" s="291" t="s">
        <v>558</v>
      </c>
      <c r="O2" s="292" t="s">
        <v>622</v>
      </c>
      <c r="P2" s="292" t="s">
        <v>623</v>
      </c>
      <c r="Q2" s="293" t="s">
        <v>459</v>
      </c>
      <c r="R2" s="293" t="s">
        <v>460</v>
      </c>
      <c r="S2" s="292" t="s">
        <v>161</v>
      </c>
      <c r="T2" s="389" t="s">
        <v>324</v>
      </c>
    </row>
    <row r="3" spans="1:20" ht="23" customHeight="1">
      <c r="A3" s="834" t="s">
        <v>93</v>
      </c>
      <c r="B3" s="831" t="s">
        <v>100</v>
      </c>
      <c r="C3" s="835" t="s">
        <v>250</v>
      </c>
      <c r="D3" s="836">
        <v>90</v>
      </c>
      <c r="E3" s="838" t="s">
        <v>251</v>
      </c>
      <c r="F3" s="836">
        <v>80</v>
      </c>
      <c r="G3" s="838" t="s">
        <v>252</v>
      </c>
      <c r="H3" s="836">
        <v>70</v>
      </c>
      <c r="I3" s="838" t="s">
        <v>306</v>
      </c>
      <c r="J3" s="852">
        <v>65</v>
      </c>
      <c r="K3" s="823" t="s">
        <v>307</v>
      </c>
      <c r="L3" s="854">
        <f>AVERAGE(D3,F3,H3,J3)</f>
        <v>76.25</v>
      </c>
      <c r="M3" s="175"/>
      <c r="N3" s="242">
        <v>1</v>
      </c>
      <c r="O3" s="243">
        <f>D3</f>
        <v>90</v>
      </c>
      <c r="P3" s="243">
        <f>D5</f>
        <v>80</v>
      </c>
      <c r="Q3" s="372">
        <f ca="1">D18</f>
        <v>90</v>
      </c>
      <c r="R3" s="372">
        <f ca="1">D26</f>
        <v>79.400000000000006</v>
      </c>
      <c r="S3" s="243">
        <f>D7</f>
        <v>85</v>
      </c>
      <c r="T3" s="390">
        <f ca="1">D29</f>
        <v>84.7</v>
      </c>
    </row>
    <row r="4" spans="1:20" ht="23" customHeight="1">
      <c r="A4" s="834"/>
      <c r="B4" s="832"/>
      <c r="C4" s="835"/>
      <c r="D4" s="837"/>
      <c r="E4" s="839"/>
      <c r="F4" s="837"/>
      <c r="G4" s="839"/>
      <c r="H4" s="837"/>
      <c r="I4" s="839"/>
      <c r="J4" s="836"/>
      <c r="K4" s="824"/>
      <c r="L4" s="855"/>
      <c r="M4" s="175"/>
      <c r="N4" s="242">
        <v>15</v>
      </c>
      <c r="O4" s="243">
        <f>F3</f>
        <v>80</v>
      </c>
      <c r="P4" s="243">
        <f>F5</f>
        <v>70</v>
      </c>
      <c r="Q4" s="372">
        <f ca="1">F18</f>
        <v>81</v>
      </c>
      <c r="R4" s="372">
        <f ca="1">F26</f>
        <v>70.2</v>
      </c>
      <c r="S4" s="243">
        <f>F7</f>
        <v>75</v>
      </c>
      <c r="T4" s="390">
        <f ca="1">F29</f>
        <v>75.599999999999994</v>
      </c>
    </row>
    <row r="5" spans="1:20" ht="23" customHeight="1">
      <c r="A5" s="834"/>
      <c r="B5" s="833" t="s">
        <v>308</v>
      </c>
      <c r="C5" s="835" t="s">
        <v>313</v>
      </c>
      <c r="D5" s="837">
        <v>80</v>
      </c>
      <c r="E5" s="840" t="s">
        <v>314</v>
      </c>
      <c r="F5" s="837">
        <v>70</v>
      </c>
      <c r="G5" s="840" t="s">
        <v>159</v>
      </c>
      <c r="H5" s="837">
        <v>60</v>
      </c>
      <c r="I5" s="840" t="s">
        <v>160</v>
      </c>
      <c r="J5" s="853">
        <v>55</v>
      </c>
      <c r="K5" s="823" t="s">
        <v>17</v>
      </c>
      <c r="L5" s="854">
        <f>AVERAGE(D5,F5,H5,J5)</f>
        <v>66.25</v>
      </c>
      <c r="M5" s="175"/>
      <c r="N5" s="242">
        <v>30</v>
      </c>
      <c r="O5" s="243">
        <f>H3</f>
        <v>70</v>
      </c>
      <c r="P5" s="243">
        <f>H5</f>
        <v>60</v>
      </c>
      <c r="Q5" s="372">
        <f ca="1">H18</f>
        <v>69.2</v>
      </c>
      <c r="R5" s="372">
        <f ca="1">H26</f>
        <v>60.4</v>
      </c>
      <c r="S5" s="243">
        <f>H7</f>
        <v>65</v>
      </c>
      <c r="T5" s="390">
        <f ca="1">H29</f>
        <v>64.8</v>
      </c>
    </row>
    <row r="6" spans="1:20" ht="23" customHeight="1">
      <c r="A6" s="834"/>
      <c r="B6" s="833"/>
      <c r="C6" s="835"/>
      <c r="D6" s="837"/>
      <c r="E6" s="839"/>
      <c r="F6" s="837"/>
      <c r="G6" s="839"/>
      <c r="H6" s="837"/>
      <c r="I6" s="839"/>
      <c r="J6" s="836"/>
      <c r="K6" s="824"/>
      <c r="L6" s="855"/>
      <c r="M6" s="175"/>
      <c r="N6" s="242">
        <v>45</v>
      </c>
      <c r="O6" s="243">
        <f>J3</f>
        <v>65</v>
      </c>
      <c r="P6" s="243">
        <f>J5</f>
        <v>55</v>
      </c>
      <c r="Q6" s="372">
        <f ca="1">J18</f>
        <v>64.599999999999994</v>
      </c>
      <c r="R6" s="372">
        <f ca="1">J26</f>
        <v>54.8</v>
      </c>
      <c r="S6" s="243">
        <f>J7</f>
        <v>60</v>
      </c>
      <c r="T6" s="390">
        <f ca="1">J29</f>
        <v>59.7</v>
      </c>
    </row>
    <row r="7" spans="1:20" ht="23" customHeight="1" thickBot="1">
      <c r="A7" s="314" t="s">
        <v>215</v>
      </c>
      <c r="B7" s="315">
        <v>1</v>
      </c>
      <c r="C7" s="356" t="s">
        <v>18</v>
      </c>
      <c r="D7" s="318">
        <f>AVERAGE(D3:D5)</f>
        <v>85</v>
      </c>
      <c r="E7" s="316" t="s">
        <v>19</v>
      </c>
      <c r="F7" s="318">
        <f>AVERAGE(F3:F5)</f>
        <v>75</v>
      </c>
      <c r="G7" s="316" t="s">
        <v>241</v>
      </c>
      <c r="H7" s="318">
        <f>AVERAGE(H3:H5)</f>
        <v>65</v>
      </c>
      <c r="I7" s="316" t="s">
        <v>700</v>
      </c>
      <c r="J7" s="318">
        <f>AVERAGE(J3:J5)</f>
        <v>60</v>
      </c>
      <c r="K7" s="316" t="s">
        <v>541</v>
      </c>
      <c r="L7" s="317">
        <f>AVERAGE(D7,F7,H7,J7)</f>
        <v>71.25</v>
      </c>
      <c r="M7" s="175"/>
      <c r="N7" s="1"/>
      <c r="O7" s="1"/>
    </row>
    <row r="8" spans="1:20" ht="23" customHeight="1" thickTop="1">
      <c r="A8" s="265"/>
      <c r="B8" s="357"/>
      <c r="C8" s="358"/>
      <c r="D8" s="359"/>
      <c r="E8" s="208" t="s">
        <v>92</v>
      </c>
      <c r="F8" s="359">
        <v>0.05</v>
      </c>
      <c r="G8" s="359" t="s">
        <v>141</v>
      </c>
      <c r="H8" s="360">
        <v>0.95</v>
      </c>
      <c r="I8" s="358"/>
      <c r="J8" s="359"/>
      <c r="K8" s="358"/>
      <c r="L8" s="357"/>
      <c r="M8" s="175"/>
      <c r="N8" s="1"/>
      <c r="O8" s="1"/>
    </row>
    <row r="9" spans="1:20" ht="23" customHeight="1">
      <c r="A9" s="265"/>
      <c r="B9" s="361" t="s">
        <v>245</v>
      </c>
      <c r="C9" s="362">
        <v>4</v>
      </c>
      <c r="D9" s="361" t="s">
        <v>542</v>
      </c>
      <c r="E9" s="362">
        <v>2</v>
      </c>
      <c r="F9" s="361" t="s">
        <v>128</v>
      </c>
      <c r="G9" s="362">
        <v>5</v>
      </c>
      <c r="H9" s="266" t="s">
        <v>543</v>
      </c>
      <c r="I9" s="362">
        <f>G9*E9</f>
        <v>10</v>
      </c>
      <c r="J9" s="266" t="s">
        <v>544</v>
      </c>
      <c r="K9" s="362">
        <f>G9*C9</f>
        <v>20</v>
      </c>
      <c r="L9" s="357"/>
      <c r="M9" s="175"/>
    </row>
    <row r="10" spans="1:20" ht="23" customHeight="1">
      <c r="A10" s="265"/>
      <c r="B10" s="266"/>
      <c r="C10" s="851" t="s">
        <v>519</v>
      </c>
      <c r="D10" s="851"/>
      <c r="E10" s="851"/>
      <c r="F10" s="851"/>
      <c r="G10" s="851"/>
      <c r="H10" s="851"/>
      <c r="I10" s="851"/>
      <c r="J10" s="851"/>
      <c r="K10" s="267"/>
      <c r="L10" s="366"/>
      <c r="M10" s="10"/>
    </row>
    <row r="11" spans="1:20" ht="23" customHeight="1" thickBot="1">
      <c r="A11" s="289"/>
      <c r="B11" s="285"/>
      <c r="C11" s="846" t="s">
        <v>189</v>
      </c>
      <c r="D11" s="847"/>
      <c r="E11" s="848" t="s">
        <v>453</v>
      </c>
      <c r="F11" s="849"/>
      <c r="G11" s="848" t="s">
        <v>457</v>
      </c>
      <c r="H11" s="849"/>
      <c r="I11" s="850" t="s">
        <v>484</v>
      </c>
      <c r="J11" s="849"/>
      <c r="K11" s="286"/>
      <c r="L11" s="287"/>
      <c r="M11" s="11"/>
    </row>
    <row r="12" spans="1:20" ht="23" customHeight="1" thickTop="1" thickBot="1">
      <c r="A12" s="827" t="s">
        <v>272</v>
      </c>
      <c r="B12" s="820" t="s">
        <v>521</v>
      </c>
      <c r="C12" s="186" t="s">
        <v>518</v>
      </c>
      <c r="D12" s="278">
        <f ca="1">ROUND(NORMINV(RAND(),D$3,$B$7),0)</f>
        <v>89</v>
      </c>
      <c r="E12" s="186" t="s">
        <v>409</v>
      </c>
      <c r="F12" s="278">
        <f t="shared" ref="F12:F16" ca="1" si="0">ROUND(NORMINV(RAND(),F$3,$B$7),0)</f>
        <v>82</v>
      </c>
      <c r="G12" s="186" t="s">
        <v>410</v>
      </c>
      <c r="H12" s="288">
        <f t="shared" ref="H12:H16" ca="1" si="1">ROUND(NORMINV(RAND(),H$3,$B$7),0)</f>
        <v>70</v>
      </c>
      <c r="I12" s="186" t="s">
        <v>198</v>
      </c>
      <c r="J12" s="278">
        <f t="shared" ref="J12:J16" ca="1" si="2">ROUND(NORMINV(RAND(),J$3,$B$7),0)</f>
        <v>62</v>
      </c>
      <c r="K12" s="268"/>
      <c r="L12" s="234"/>
      <c r="M12" s="10"/>
      <c r="N12" s="370"/>
    </row>
    <row r="13" spans="1:20" ht="23" customHeight="1" thickBot="1">
      <c r="A13" s="828"/>
      <c r="B13" s="821"/>
      <c r="C13" s="186" t="s">
        <v>199</v>
      </c>
      <c r="D13" s="278">
        <f t="shared" ref="D13:D16" ca="1" si="3">ROUND(NORMINV(RAND(),D$3,$B$7),0)</f>
        <v>91</v>
      </c>
      <c r="E13" s="186" t="s">
        <v>200</v>
      </c>
      <c r="F13" s="278">
        <f t="shared" ca="1" si="0"/>
        <v>80</v>
      </c>
      <c r="G13" s="186" t="s">
        <v>201</v>
      </c>
      <c r="H13" s="278">
        <f t="shared" ca="1" si="1"/>
        <v>68</v>
      </c>
      <c r="I13" s="186" t="s">
        <v>202</v>
      </c>
      <c r="J13" s="278">
        <f t="shared" ca="1" si="2"/>
        <v>66</v>
      </c>
      <c r="K13" s="268"/>
      <c r="L13" s="234"/>
      <c r="M13" s="10"/>
      <c r="N13" s="370"/>
    </row>
    <row r="14" spans="1:20" ht="23" customHeight="1" thickBot="1">
      <c r="A14" s="828"/>
      <c r="B14" s="821"/>
      <c r="C14" s="186" t="s">
        <v>2</v>
      </c>
      <c r="D14" s="278">
        <f t="shared" ca="1" si="3"/>
        <v>90</v>
      </c>
      <c r="E14" s="186" t="s">
        <v>21</v>
      </c>
      <c r="F14" s="278">
        <f t="shared" ca="1" si="0"/>
        <v>81</v>
      </c>
      <c r="G14" s="186" t="s">
        <v>168</v>
      </c>
      <c r="H14" s="278">
        <f t="shared" ca="1" si="1"/>
        <v>69</v>
      </c>
      <c r="I14" s="186" t="s">
        <v>23</v>
      </c>
      <c r="J14" s="278">
        <f t="shared" ca="1" si="2"/>
        <v>65</v>
      </c>
      <c r="K14" s="269"/>
      <c r="L14" s="234"/>
      <c r="M14" s="10"/>
      <c r="N14" s="370"/>
    </row>
    <row r="15" spans="1:20" ht="23" customHeight="1" thickBot="1">
      <c r="A15" s="828"/>
      <c r="B15" s="821"/>
      <c r="C15" s="186" t="s">
        <v>24</v>
      </c>
      <c r="D15" s="278">
        <f t="shared" ca="1" si="3"/>
        <v>90</v>
      </c>
      <c r="E15" s="186" t="s">
        <v>25</v>
      </c>
      <c r="F15" s="278">
        <f t="shared" ca="1" si="0"/>
        <v>82</v>
      </c>
      <c r="G15" s="186" t="s">
        <v>173</v>
      </c>
      <c r="H15" s="278">
        <f t="shared" ca="1" si="1"/>
        <v>69</v>
      </c>
      <c r="I15" s="186" t="s">
        <v>176</v>
      </c>
      <c r="J15" s="278">
        <f t="shared" ca="1" si="2"/>
        <v>66</v>
      </c>
      <c r="K15" s="269"/>
      <c r="L15" s="234"/>
      <c r="M15" s="10"/>
      <c r="N15" s="370"/>
    </row>
    <row r="16" spans="1:20" ht="23" customHeight="1" thickBot="1">
      <c r="A16" s="828"/>
      <c r="B16" s="821"/>
      <c r="C16" s="253" t="s">
        <v>177</v>
      </c>
      <c r="D16" s="279">
        <f t="shared" ca="1" si="3"/>
        <v>90</v>
      </c>
      <c r="E16" s="253" t="s">
        <v>178</v>
      </c>
      <c r="F16" s="279">
        <f t="shared" ca="1" si="0"/>
        <v>80</v>
      </c>
      <c r="G16" s="253" t="s">
        <v>333</v>
      </c>
      <c r="H16" s="279">
        <f t="shared" ca="1" si="1"/>
        <v>70</v>
      </c>
      <c r="I16" s="253" t="s">
        <v>334</v>
      </c>
      <c r="J16" s="279">
        <f t="shared" ca="1" si="2"/>
        <v>64</v>
      </c>
      <c r="K16" s="269"/>
      <c r="L16" s="234"/>
      <c r="M16" s="10"/>
      <c r="N16" s="370"/>
    </row>
    <row r="17" spans="1:16" ht="23" customHeight="1" thickBot="1">
      <c r="A17" s="828"/>
      <c r="B17" s="821"/>
      <c r="C17" s="186" t="s">
        <v>504</v>
      </c>
      <c r="D17" s="280">
        <f ca="1">SUM(D12:D16)</f>
        <v>450</v>
      </c>
      <c r="E17" s="186" t="s">
        <v>505</v>
      </c>
      <c r="F17" s="280">
        <f ca="1">SUM(F12:F16)</f>
        <v>405</v>
      </c>
      <c r="G17" s="186" t="s">
        <v>506</v>
      </c>
      <c r="H17" s="280">
        <f ca="1">SUM(H12:H16)</f>
        <v>346</v>
      </c>
      <c r="I17" s="186" t="s">
        <v>442</v>
      </c>
      <c r="J17" s="280">
        <f ca="1">SUM(J12:J16)</f>
        <v>323</v>
      </c>
      <c r="K17" s="186" t="s">
        <v>443</v>
      </c>
      <c r="L17" s="191">
        <f ca="1">D17+F17+H17+J17</f>
        <v>1524</v>
      </c>
      <c r="M17" s="176"/>
      <c r="N17" s="370"/>
    </row>
    <row r="18" spans="1:16" ht="23" customHeight="1" thickBot="1">
      <c r="A18" s="828"/>
      <c r="B18" s="821"/>
      <c r="C18" s="186" t="s">
        <v>20</v>
      </c>
      <c r="D18" s="281">
        <f ca="1">D17/$G$9</f>
        <v>90</v>
      </c>
      <c r="E18" s="186" t="s">
        <v>165</v>
      </c>
      <c r="F18" s="281">
        <f ca="1">F17/$G$9</f>
        <v>81</v>
      </c>
      <c r="G18" s="186" t="s">
        <v>166</v>
      </c>
      <c r="H18" s="281">
        <f ca="1">H17/$G$9</f>
        <v>69.2</v>
      </c>
      <c r="I18" s="186" t="s">
        <v>167</v>
      </c>
      <c r="J18" s="281">
        <f ca="1">J17/$G$9</f>
        <v>64.599999999999994</v>
      </c>
      <c r="K18" s="186" t="s">
        <v>663</v>
      </c>
      <c r="L18" s="271">
        <f ca="1">L17/$K$9</f>
        <v>76.2</v>
      </c>
      <c r="M18" s="176"/>
      <c r="N18" s="370"/>
    </row>
    <row r="19" spans="1:16" ht="23" customHeight="1" thickBot="1">
      <c r="A19" s="828"/>
      <c r="B19" s="821"/>
      <c r="C19" s="272" t="s">
        <v>304</v>
      </c>
      <c r="D19" s="282">
        <f ca="1">VAR(D12:D16)</f>
        <v>0.5</v>
      </c>
      <c r="E19" s="214" t="s">
        <v>305</v>
      </c>
      <c r="F19" s="282">
        <f ca="1">VAR(F12:F16)</f>
        <v>1</v>
      </c>
      <c r="G19" s="214" t="s">
        <v>234</v>
      </c>
      <c r="H19" s="282">
        <f ca="1">VAR(H12:H16)</f>
        <v>0.6999999999998181</v>
      </c>
      <c r="I19" s="214" t="s">
        <v>235</v>
      </c>
      <c r="J19" s="282">
        <f ca="1">VAR(J12:J16)</f>
        <v>2.8000000000001819</v>
      </c>
      <c r="K19" s="275"/>
      <c r="L19" s="275"/>
      <c r="M19" s="36"/>
      <c r="N19" s="370"/>
    </row>
    <row r="20" spans="1:16" ht="23" customHeight="1">
      <c r="A20" s="828"/>
      <c r="B20" s="841" t="s">
        <v>520</v>
      </c>
      <c r="C20" s="186" t="s">
        <v>664</v>
      </c>
      <c r="D20" s="278">
        <f ca="1">ROUND(NORMINV(RAND(),D$5,$B$7),0)</f>
        <v>80</v>
      </c>
      <c r="E20" s="186" t="s">
        <v>665</v>
      </c>
      <c r="F20" s="278">
        <f t="shared" ref="F20:F24" ca="1" si="4">ROUND(NORMINV(RAND(),F$5,$B$7),0)</f>
        <v>69</v>
      </c>
      <c r="G20" s="186" t="s">
        <v>545</v>
      </c>
      <c r="H20" s="278">
        <f t="shared" ref="H20:H24" ca="1" si="5">ROUND(NORMINV(RAND(),H$5,$B$7),0)</f>
        <v>60</v>
      </c>
      <c r="I20" s="186" t="s">
        <v>546</v>
      </c>
      <c r="J20" s="278">
        <f t="shared" ref="J20:J24" ca="1" si="6">ROUND(NORMINV(RAND(),J$5,$B$7),0)</f>
        <v>56</v>
      </c>
      <c r="K20" s="269"/>
      <c r="L20" s="234"/>
      <c r="M20" s="175"/>
      <c r="N20" s="370"/>
    </row>
    <row r="21" spans="1:16" ht="23" customHeight="1">
      <c r="A21" s="828"/>
      <c r="B21" s="841"/>
      <c r="C21" s="186" t="s">
        <v>547</v>
      </c>
      <c r="D21" s="278">
        <f t="shared" ref="D21:D24" ca="1" si="7">ROUND(NORMINV(RAND(),D$5,$B$7),0)</f>
        <v>79</v>
      </c>
      <c r="E21" s="186" t="s">
        <v>548</v>
      </c>
      <c r="F21" s="278">
        <f t="shared" ca="1" si="4"/>
        <v>69</v>
      </c>
      <c r="G21" s="186" t="s">
        <v>254</v>
      </c>
      <c r="H21" s="278">
        <f t="shared" ca="1" si="5"/>
        <v>60</v>
      </c>
      <c r="I21" s="186" t="s">
        <v>416</v>
      </c>
      <c r="J21" s="278">
        <f t="shared" ca="1" si="6"/>
        <v>52</v>
      </c>
      <c r="K21" s="270"/>
      <c r="L21" s="234"/>
      <c r="M21" s="70"/>
      <c r="N21" s="370"/>
    </row>
    <row r="22" spans="1:16" ht="23" customHeight="1">
      <c r="A22" s="828"/>
      <c r="B22" s="841"/>
      <c r="C22" s="186" t="s">
        <v>95</v>
      </c>
      <c r="D22" s="278">
        <f t="shared" ca="1" si="7"/>
        <v>81</v>
      </c>
      <c r="E22" s="186" t="s">
        <v>96</v>
      </c>
      <c r="F22" s="278">
        <f t="shared" ca="1" si="4"/>
        <v>71</v>
      </c>
      <c r="G22" s="186" t="s">
        <v>97</v>
      </c>
      <c r="H22" s="278">
        <f t="shared" ca="1" si="5"/>
        <v>61</v>
      </c>
      <c r="I22" s="186" t="s">
        <v>98</v>
      </c>
      <c r="J22" s="278">
        <f t="shared" ca="1" si="6"/>
        <v>55</v>
      </c>
      <c r="K22" s="234"/>
      <c r="L22" s="234"/>
      <c r="M22" s="175"/>
      <c r="N22" s="370"/>
    </row>
    <row r="23" spans="1:16" ht="23" customHeight="1">
      <c r="A23" s="828"/>
      <c r="B23" s="841"/>
      <c r="C23" s="186" t="s">
        <v>99</v>
      </c>
      <c r="D23" s="278">
        <f t="shared" ca="1" si="7"/>
        <v>78</v>
      </c>
      <c r="E23" s="186" t="s">
        <v>581</v>
      </c>
      <c r="F23" s="278">
        <f t="shared" ca="1" si="4"/>
        <v>71</v>
      </c>
      <c r="G23" s="186" t="s">
        <v>144</v>
      </c>
      <c r="H23" s="278">
        <f t="shared" ca="1" si="5"/>
        <v>60</v>
      </c>
      <c r="I23" s="186" t="s">
        <v>145</v>
      </c>
      <c r="J23" s="278">
        <f t="shared" ca="1" si="6"/>
        <v>56</v>
      </c>
      <c r="K23" s="234"/>
      <c r="L23" s="234"/>
      <c r="M23" s="179"/>
      <c r="N23" s="370"/>
    </row>
    <row r="24" spans="1:16" ht="23" customHeight="1">
      <c r="A24" s="828"/>
      <c r="B24" s="841"/>
      <c r="C24" s="253" t="s">
        <v>291</v>
      </c>
      <c r="D24" s="279">
        <f t="shared" ca="1" si="7"/>
        <v>79</v>
      </c>
      <c r="E24" s="253" t="s">
        <v>292</v>
      </c>
      <c r="F24" s="279">
        <f t="shared" ca="1" si="4"/>
        <v>71</v>
      </c>
      <c r="G24" s="253" t="s">
        <v>293</v>
      </c>
      <c r="H24" s="279">
        <f t="shared" ca="1" si="5"/>
        <v>61</v>
      </c>
      <c r="I24" s="253" t="s">
        <v>148</v>
      </c>
      <c r="J24" s="279">
        <f t="shared" ca="1" si="6"/>
        <v>55</v>
      </c>
      <c r="K24" s="234"/>
      <c r="L24" s="234"/>
      <c r="M24" s="175"/>
      <c r="N24" s="370"/>
    </row>
    <row r="25" spans="1:16" ht="23" customHeight="1">
      <c r="A25" s="828"/>
      <c r="B25" s="841"/>
      <c r="C25" s="186" t="s">
        <v>221</v>
      </c>
      <c r="D25" s="280">
        <f ca="1">SUM(D20:D24)</f>
        <v>397</v>
      </c>
      <c r="E25" s="186" t="s">
        <v>88</v>
      </c>
      <c r="F25" s="280">
        <f ca="1">SUM(F20:F24)</f>
        <v>351</v>
      </c>
      <c r="G25" s="186" t="s">
        <v>475</v>
      </c>
      <c r="H25" s="280">
        <f ca="1">SUM(H20:H24)</f>
        <v>302</v>
      </c>
      <c r="I25" s="186" t="s">
        <v>476</v>
      </c>
      <c r="J25" s="280">
        <f ca="1">SUM(J20:J24)</f>
        <v>274</v>
      </c>
      <c r="K25" s="186" t="s">
        <v>477</v>
      </c>
      <c r="L25" s="191">
        <f ca="1">D25+F25+H25+J25</f>
        <v>1324</v>
      </c>
      <c r="M25" s="176"/>
      <c r="N25" s="370"/>
    </row>
    <row r="26" spans="1:16" ht="23" customHeight="1">
      <c r="A26" s="828"/>
      <c r="B26" s="841"/>
      <c r="C26" s="186" t="s">
        <v>222</v>
      </c>
      <c r="D26" s="281">
        <f ca="1">D25/$G$9</f>
        <v>79.400000000000006</v>
      </c>
      <c r="E26" s="186" t="s">
        <v>417</v>
      </c>
      <c r="F26" s="281">
        <f ca="1">F25/$G$9</f>
        <v>70.2</v>
      </c>
      <c r="G26" s="186" t="s">
        <v>418</v>
      </c>
      <c r="H26" s="281">
        <f ca="1">H25/$G$9</f>
        <v>60.4</v>
      </c>
      <c r="I26" s="186" t="s">
        <v>419</v>
      </c>
      <c r="J26" s="281">
        <f ca="1">J25/$G$9</f>
        <v>54.8</v>
      </c>
      <c r="K26" s="186" t="s">
        <v>420</v>
      </c>
      <c r="L26" s="271">
        <f ca="1">L25/$K$9</f>
        <v>66.2</v>
      </c>
      <c r="M26" s="176"/>
      <c r="N26" s="370"/>
    </row>
    <row r="27" spans="1:16" ht="23" customHeight="1" thickBot="1">
      <c r="A27" s="829"/>
      <c r="B27" s="842"/>
      <c r="C27" s="283" t="s">
        <v>85</v>
      </c>
      <c r="D27" s="284">
        <f ca="1">VAR(D20:D24)</f>
        <v>1.3000000000001819</v>
      </c>
      <c r="E27" s="276" t="s">
        <v>0</v>
      </c>
      <c r="F27" s="284">
        <f ca="1">VAR(F20:F24)</f>
        <v>1.1999999999998181</v>
      </c>
      <c r="G27" s="276" t="s">
        <v>91</v>
      </c>
      <c r="H27" s="284">
        <f ca="1">VAR(H20:H24)</f>
        <v>0.3000000000001819</v>
      </c>
      <c r="I27" s="276" t="s">
        <v>253</v>
      </c>
      <c r="J27" s="284">
        <f ca="1">VAR(J20:J24)</f>
        <v>2.6999999999998181</v>
      </c>
      <c r="K27" s="274"/>
      <c r="L27" s="274"/>
      <c r="M27" s="36"/>
      <c r="N27" s="370"/>
    </row>
    <row r="28" spans="1:16" ht="23" customHeight="1">
      <c r="A28" s="367"/>
      <c r="B28" s="277"/>
      <c r="C28" s="186" t="s">
        <v>580</v>
      </c>
      <c r="D28" s="278">
        <f ca="1">D17+D25</f>
        <v>847</v>
      </c>
      <c r="E28" s="186" t="s">
        <v>478</v>
      </c>
      <c r="F28" s="278">
        <f ca="1">F17+F25</f>
        <v>756</v>
      </c>
      <c r="G28" s="186" t="s">
        <v>479</v>
      </c>
      <c r="H28" s="278">
        <f ca="1">H17+H25</f>
        <v>648</v>
      </c>
      <c r="I28" s="186" t="s">
        <v>480</v>
      </c>
      <c r="J28" s="278">
        <f ca="1">J17+J25</f>
        <v>597</v>
      </c>
      <c r="K28" s="186" t="s">
        <v>162</v>
      </c>
      <c r="L28" s="191">
        <f ca="1">SUM(D12:J16,D20:J24)</f>
        <v>2848</v>
      </c>
      <c r="M28" s="176"/>
    </row>
    <row r="29" spans="1:16" ht="23" customHeight="1">
      <c r="A29" s="367"/>
      <c r="B29" s="277"/>
      <c r="C29" s="186" t="s">
        <v>163</v>
      </c>
      <c r="D29" s="281">
        <f ca="1">D28/$I$9</f>
        <v>84.7</v>
      </c>
      <c r="E29" s="186" t="s">
        <v>164</v>
      </c>
      <c r="F29" s="281">
        <f ca="1">F28/$I$9</f>
        <v>75.599999999999994</v>
      </c>
      <c r="G29" s="186" t="s">
        <v>329</v>
      </c>
      <c r="H29" s="281">
        <f ca="1">H28/$I$9</f>
        <v>64.8</v>
      </c>
      <c r="I29" s="186" t="s">
        <v>330</v>
      </c>
      <c r="J29" s="281">
        <f ca="1">J28/$I$9</f>
        <v>59.7</v>
      </c>
      <c r="K29" s="186" t="s">
        <v>331</v>
      </c>
      <c r="L29" s="191">
        <f>G9*E9*C9</f>
        <v>40</v>
      </c>
      <c r="M29" s="175"/>
    </row>
    <row r="30" spans="1:16" ht="23" customHeight="1" thickBot="1">
      <c r="A30" s="368"/>
      <c r="B30" s="312"/>
      <c r="C30" s="276"/>
      <c r="D30" s="284"/>
      <c r="E30" s="276"/>
      <c r="F30" s="284"/>
      <c r="G30" s="276"/>
      <c r="H30" s="284"/>
      <c r="I30" s="276"/>
      <c r="J30" s="284"/>
      <c r="K30" s="276" t="s">
        <v>382</v>
      </c>
      <c r="L30" s="313">
        <f ca="1">L28/L29</f>
        <v>71.2</v>
      </c>
      <c r="M30" s="175"/>
    </row>
    <row r="31" spans="1:16" ht="23" customHeight="1">
      <c r="A31" s="322"/>
      <c r="B31" s="323" t="s">
        <v>332</v>
      </c>
      <c r="C31" s="324">
        <f ca="1">SUMSQ(D12:J16,D20:J24)-SUMSQ(D17:J17,D25:J25)/G9</f>
        <v>42</v>
      </c>
      <c r="D31" s="354"/>
      <c r="E31" s="326" t="s">
        <v>122</v>
      </c>
      <c r="F31" s="322"/>
      <c r="G31" s="326"/>
      <c r="H31" s="327"/>
      <c r="I31" s="326"/>
      <c r="J31" s="327"/>
      <c r="K31" s="323"/>
      <c r="L31" s="328"/>
      <c r="M31" s="175"/>
      <c r="P31" s="369"/>
    </row>
    <row r="32" spans="1:16" ht="23" customHeight="1">
      <c r="A32" s="322"/>
      <c r="B32" s="329" t="s">
        <v>147</v>
      </c>
      <c r="C32" s="339">
        <f>C9*E9*(G9-1)</f>
        <v>32</v>
      </c>
      <c r="D32" s="331"/>
      <c r="E32" s="334" t="s">
        <v>278</v>
      </c>
      <c r="F32" s="332" t="s">
        <v>139</v>
      </c>
      <c r="G32" s="334" t="s">
        <v>582</v>
      </c>
      <c r="H32" s="332" t="s">
        <v>583</v>
      </c>
      <c r="I32" s="334" t="s">
        <v>584</v>
      </c>
      <c r="J32" s="332" t="s">
        <v>276</v>
      </c>
      <c r="K32" s="344" t="s">
        <v>294</v>
      </c>
      <c r="L32" s="327"/>
      <c r="M32" s="175"/>
      <c r="N32" s="369"/>
    </row>
    <row r="33" spans="1:14" ht="23" customHeight="1">
      <c r="A33" s="322"/>
      <c r="B33" s="323" t="s">
        <v>612</v>
      </c>
      <c r="C33" s="326">
        <f ca="1">(C31/C32)</f>
        <v>1.3125</v>
      </c>
      <c r="D33" s="326"/>
      <c r="E33" s="327" t="s">
        <v>368</v>
      </c>
      <c r="F33" s="353">
        <f>C9*E9-1</f>
        <v>7</v>
      </c>
      <c r="G33" s="353">
        <f ca="1">SUMSQ(C17:J17,C25:J25)/G9-L28^2/L29</f>
        <v>4754.3999999999942</v>
      </c>
      <c r="H33" s="327"/>
      <c r="I33" s="327"/>
      <c r="J33" s="327"/>
      <c r="K33" s="327"/>
      <c r="L33" s="327"/>
      <c r="M33" s="369"/>
      <c r="N33" s="175"/>
    </row>
    <row r="34" spans="1:14" ht="23" customHeight="1">
      <c r="A34" s="332"/>
      <c r="B34" s="333" t="s">
        <v>379</v>
      </c>
      <c r="C34" s="334">
        <f ca="1">SQRT(C33)</f>
        <v>1.14564392373896</v>
      </c>
      <c r="D34" s="327"/>
      <c r="E34" s="323" t="s">
        <v>277</v>
      </c>
      <c r="F34" s="355">
        <f>C9-1</f>
        <v>3</v>
      </c>
      <c r="G34" s="355">
        <f ca="1">SUMSQ(C28:J28)/I9-L28^2/L29</f>
        <v>3748.1999999999825</v>
      </c>
      <c r="H34" s="355">
        <f ca="1">G34/F34</f>
        <v>1249.3999999999942</v>
      </c>
      <c r="I34" s="387">
        <f ca="1">H34/$H$37</f>
        <v>951.92380952380506</v>
      </c>
      <c r="J34" s="387">
        <f>FINV($F$8,F34,$F$37)</f>
        <v>2.9011195881551242</v>
      </c>
      <c r="K34" s="822" t="str">
        <f ca="1">IF(I34&gt;J34,"Reject", "Don't reject")</f>
        <v>Reject</v>
      </c>
      <c r="L34" s="822"/>
      <c r="M34" s="179"/>
      <c r="N34" s="175"/>
    </row>
    <row r="35" spans="1:14" ht="23" customHeight="1">
      <c r="A35" s="335"/>
      <c r="B35" s="336" t="s">
        <v>644</v>
      </c>
      <c r="C35" s="337"/>
      <c r="D35" s="338"/>
      <c r="E35" s="338" t="s">
        <v>444</v>
      </c>
      <c r="F35" s="355">
        <f>E9-1</f>
        <v>1</v>
      </c>
      <c r="G35" s="338">
        <f ca="1">SUMSQ(L17,L25)/K9-L28^2/L29</f>
        <v>1000</v>
      </c>
      <c r="H35" s="355">
        <f t="shared" ref="H35:H37" ca="1" si="8">G35/F35</f>
        <v>1000</v>
      </c>
      <c r="I35" s="387">
        <f t="shared" ref="I35:I36" ca="1" si="9">H35/$H$37</f>
        <v>761.90476190476193</v>
      </c>
      <c r="J35" s="387">
        <f>FINV($F$8,F35,$F$37)</f>
        <v>4.1490974088185517</v>
      </c>
      <c r="K35" s="822" t="str">
        <f t="shared" ref="K35:K36" ca="1" si="10">IF(I35&gt;J35,"Reject", "Don't reject")</f>
        <v>Reject</v>
      </c>
      <c r="L35" s="822"/>
      <c r="M35" s="175"/>
      <c r="N35" s="178"/>
    </row>
    <row r="36" spans="1:14" ht="23" customHeight="1">
      <c r="A36" s="322"/>
      <c r="B36" s="323" t="s">
        <v>522</v>
      </c>
      <c r="C36" s="339">
        <f>C32</f>
        <v>32</v>
      </c>
      <c r="D36" s="327"/>
      <c r="E36" s="346" t="s">
        <v>639</v>
      </c>
      <c r="F36" s="355">
        <f>F34*F35</f>
        <v>3</v>
      </c>
      <c r="G36" s="355">
        <f ca="1">G33-(G34+G35)</f>
        <v>6.2000000000116415</v>
      </c>
      <c r="H36" s="355">
        <f t="shared" ca="1" si="8"/>
        <v>2.0666666666705473</v>
      </c>
      <c r="I36" s="387">
        <f t="shared" ca="1" si="9"/>
        <v>1.5746031746061313</v>
      </c>
      <c r="J36" s="387">
        <f>FINV($F$8,F36,$F$37)</f>
        <v>2.9011195881551242</v>
      </c>
      <c r="K36" s="822" t="str">
        <f t="shared" ca="1" si="10"/>
        <v>Don't reject</v>
      </c>
      <c r="L36" s="822"/>
      <c r="M36" s="175"/>
      <c r="N36" s="369"/>
    </row>
    <row r="37" spans="1:14" ht="23" customHeight="1">
      <c r="A37" s="322"/>
      <c r="B37" s="323" t="s">
        <v>40</v>
      </c>
      <c r="C37" s="341">
        <f>TINV(1-H8,C32)</f>
        <v>2.0369333344070331</v>
      </c>
      <c r="D37" s="327"/>
      <c r="E37" s="345" t="s">
        <v>640</v>
      </c>
      <c r="F37" s="353">
        <f>C9*E9*(G9-1)</f>
        <v>32</v>
      </c>
      <c r="G37" s="353">
        <f ca="1">SUMSQ(C12:J16,C20:J24)-SUMSQ(C17:J17,C25:J25)/G9</f>
        <v>42</v>
      </c>
      <c r="H37" s="352">
        <f t="shared" ca="1" si="8"/>
        <v>1.3125</v>
      </c>
      <c r="I37" s="345"/>
      <c r="J37" s="327"/>
      <c r="K37" s="327"/>
      <c r="L37" s="327"/>
      <c r="M37" s="175"/>
      <c r="N37" s="179"/>
    </row>
    <row r="38" spans="1:14" ht="23" customHeight="1">
      <c r="A38" s="322"/>
      <c r="B38" s="323" t="s">
        <v>41</v>
      </c>
      <c r="C38" s="341">
        <f ca="1">C34/SQRT(G9)</f>
        <v>0.51234753829797985</v>
      </c>
      <c r="D38" s="327"/>
      <c r="E38" s="321" t="s">
        <v>641</v>
      </c>
      <c r="F38" s="354">
        <f>F33+F37</f>
        <v>39</v>
      </c>
      <c r="G38" s="354">
        <f ca="1">G33+G37</f>
        <v>4796.3999999999942</v>
      </c>
      <c r="H38" s="344"/>
      <c r="I38" s="326"/>
      <c r="J38" s="344"/>
      <c r="K38" s="327"/>
      <c r="L38" s="327"/>
      <c r="M38" s="175"/>
      <c r="N38" s="17"/>
    </row>
    <row r="39" spans="1:14" ht="23" customHeight="1">
      <c r="A39" s="322"/>
      <c r="B39" s="342" t="s">
        <v>94</v>
      </c>
      <c r="C39" s="343">
        <f ca="1">C37*C38</f>
        <v>1.0436177795605392</v>
      </c>
      <c r="D39" s="327"/>
      <c r="E39" s="326"/>
      <c r="F39" s="327"/>
      <c r="G39" s="326"/>
      <c r="H39" s="327"/>
      <c r="I39" s="326"/>
      <c r="J39" s="327"/>
      <c r="K39" s="327"/>
      <c r="L39" s="327"/>
      <c r="M39" s="175"/>
      <c r="N39" s="17"/>
    </row>
    <row r="40" spans="1:14" s="119" customFormat="1" ht="27" customHeight="1">
      <c r="A40" s="150"/>
      <c r="B40" s="145" t="s">
        <v>315</v>
      </c>
      <c r="C40" s="373">
        <f ca="1">(C34/SQRT(I9))*C37</f>
        <v>0.73794920889410476</v>
      </c>
      <c r="D40" s="146"/>
      <c r="E40" s="146"/>
      <c r="F40" s="146"/>
      <c r="G40" s="146"/>
      <c r="H40" s="146"/>
      <c r="I40" s="146"/>
      <c r="J40" s="146"/>
      <c r="K40" s="146"/>
      <c r="L40" s="146"/>
      <c r="M40" s="369"/>
      <c r="N40" s="369"/>
    </row>
    <row r="41" spans="1:14" ht="19" customHeight="1">
      <c r="B41" s="369"/>
      <c r="C41" s="369"/>
      <c r="D41" s="369"/>
      <c r="E41" s="369"/>
      <c r="F41" s="369"/>
      <c r="G41" s="320"/>
      <c r="H41" s="369"/>
      <c r="I41" s="369"/>
      <c r="J41" s="369"/>
      <c r="K41" s="369"/>
      <c r="L41" s="369"/>
      <c r="M41" s="175"/>
      <c r="N41" s="25"/>
    </row>
    <row r="42" spans="1:14">
      <c r="D42" s="369"/>
      <c r="E42" s="369"/>
      <c r="F42" s="369"/>
      <c r="G42" s="369"/>
      <c r="H42" s="369"/>
      <c r="I42" s="369"/>
      <c r="J42" s="369"/>
      <c r="K42" s="369"/>
      <c r="L42" s="369"/>
      <c r="M42" s="175"/>
      <c r="N42" s="179"/>
    </row>
    <row r="43" spans="1:14"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175"/>
      <c r="N43" s="176"/>
    </row>
    <row r="44" spans="1:14"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175"/>
      <c r="N44" s="179"/>
    </row>
    <row r="45" spans="1:14"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175"/>
      <c r="N45" s="25"/>
    </row>
    <row r="46" spans="1:14"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175"/>
      <c r="N46" s="25"/>
    </row>
    <row r="47" spans="1:14"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175"/>
      <c r="N47" s="25"/>
    </row>
    <row r="48" spans="1:14"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175"/>
      <c r="N48" s="25"/>
    </row>
    <row r="49" spans="2:14"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</row>
    <row r="50" spans="2:14"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</row>
    <row r="51" spans="2:14"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</row>
    <row r="52" spans="2:14"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</row>
  </sheetData>
  <sheetCalcPr fullCalcOnLoad="1"/>
  <mergeCells count="36">
    <mergeCell ref="K34:L34"/>
    <mergeCell ref="K35:L35"/>
    <mergeCell ref="K36:L36"/>
    <mergeCell ref="C11:D11"/>
    <mergeCell ref="E11:F11"/>
    <mergeCell ref="G11:H11"/>
    <mergeCell ref="I11:J11"/>
    <mergeCell ref="A12:A27"/>
    <mergeCell ref="B12:B19"/>
    <mergeCell ref="B20:B27"/>
    <mergeCell ref="H5:H6"/>
    <mergeCell ref="I5:I6"/>
    <mergeCell ref="B5:B6"/>
    <mergeCell ref="K5:K6"/>
    <mergeCell ref="L5:L6"/>
    <mergeCell ref="C10:J10"/>
    <mergeCell ref="I3:I4"/>
    <mergeCell ref="J3:J4"/>
    <mergeCell ref="K3:K4"/>
    <mergeCell ref="L3:L4"/>
    <mergeCell ref="C5:C6"/>
    <mergeCell ref="D5:D6"/>
    <mergeCell ref="E5:E6"/>
    <mergeCell ref="F5:F6"/>
    <mergeCell ref="G5:G6"/>
    <mergeCell ref="A1:B2"/>
    <mergeCell ref="C1:J1"/>
    <mergeCell ref="A3:A6"/>
    <mergeCell ref="B3:B4"/>
    <mergeCell ref="C3:C4"/>
    <mergeCell ref="D3:D4"/>
    <mergeCell ref="E3:E4"/>
    <mergeCell ref="F3:F4"/>
    <mergeCell ref="G3:G4"/>
    <mergeCell ref="H3:H4"/>
    <mergeCell ref="J5:J6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38"/>
  <sheetViews>
    <sheetView zoomScale="85" workbookViewId="0">
      <selection activeCell="N49" sqref="N49"/>
    </sheetView>
  </sheetViews>
  <sheetFormatPr baseColWidth="10" defaultRowHeight="19"/>
  <cols>
    <col min="1" max="1" width="4.19921875" style="1" customWidth="1"/>
    <col min="2" max="2" width="6.3984375" style="1" customWidth="1"/>
    <col min="3" max="10" width="6.296875" style="1" customWidth="1"/>
    <col min="11" max="11" width="5.8984375" style="1" customWidth="1"/>
    <col min="12" max="12" width="6.296875" style="1" customWidth="1"/>
    <col min="13" max="13" width="3.59765625" style="1" customWidth="1"/>
    <col min="14" max="15" width="7" style="1" customWidth="1"/>
    <col min="16" max="16" width="8.8984375" style="1" customWidth="1"/>
    <col min="17" max="19" width="7" style="1" customWidth="1"/>
    <col min="20" max="20" width="3.09765625" style="1" customWidth="1"/>
    <col min="21" max="22" width="7" style="1" customWidth="1"/>
    <col min="23" max="23" width="8.3984375" style="1" customWidth="1"/>
    <col min="24" max="26" width="7" style="1" customWidth="1"/>
    <col min="27" max="16384" width="10.69921875" style="1"/>
  </cols>
  <sheetData>
    <row r="1" spans="1:26" ht="23" customHeight="1">
      <c r="B1" s="411" t="s">
        <v>470</v>
      </c>
      <c r="C1" s="412">
        <v>4</v>
      </c>
      <c r="D1" s="411" t="s">
        <v>470</v>
      </c>
      <c r="E1" s="412">
        <v>2</v>
      </c>
      <c r="F1" s="411" t="s">
        <v>471</v>
      </c>
      <c r="G1" s="412">
        <v>5</v>
      </c>
      <c r="H1" s="224" t="s">
        <v>303</v>
      </c>
      <c r="I1" s="412">
        <f>G1*E1</f>
        <v>10</v>
      </c>
      <c r="J1" s="224" t="s">
        <v>474</v>
      </c>
      <c r="K1" s="412">
        <f>G1*C1</f>
        <v>20</v>
      </c>
      <c r="L1" s="40"/>
    </row>
    <row r="2" spans="1:26" ht="29" customHeight="1">
      <c r="B2" s="266"/>
      <c r="C2" s="808" t="s">
        <v>86</v>
      </c>
      <c r="D2" s="808"/>
      <c r="E2" s="808"/>
      <c r="F2" s="808"/>
      <c r="G2" s="808"/>
      <c r="H2" s="808"/>
      <c r="I2" s="808"/>
      <c r="J2" s="808"/>
      <c r="K2" s="267"/>
      <c r="L2" s="40"/>
      <c r="M2" s="26"/>
      <c r="T2" s="23"/>
      <c r="U2" s="856" t="s">
        <v>557</v>
      </c>
      <c r="V2" s="856"/>
      <c r="W2" s="856"/>
      <c r="X2" s="856"/>
      <c r="Y2" s="856"/>
      <c r="Z2" s="856"/>
    </row>
    <row r="3" spans="1:26" ht="30" customHeight="1" thickBot="1">
      <c r="B3" s="451" t="s">
        <v>347</v>
      </c>
      <c r="C3" s="862" t="s">
        <v>614</v>
      </c>
      <c r="D3" s="858"/>
      <c r="E3" s="857" t="s">
        <v>87</v>
      </c>
      <c r="F3" s="858"/>
      <c r="G3" s="857" t="s">
        <v>668</v>
      </c>
      <c r="H3" s="858"/>
      <c r="I3" s="857" t="s">
        <v>669</v>
      </c>
      <c r="J3" s="858"/>
      <c r="K3" s="476"/>
      <c r="L3" s="447"/>
      <c r="M3" s="26"/>
    </row>
    <row r="4" spans="1:26" ht="24" customHeight="1" thickBot="1">
      <c r="A4" s="859" t="s">
        <v>272</v>
      </c>
      <c r="B4" s="860" t="s">
        <v>16</v>
      </c>
      <c r="C4" s="457" t="s">
        <v>518</v>
      </c>
      <c r="D4" s="458">
        <v>82</v>
      </c>
      <c r="E4" s="465" t="s">
        <v>343</v>
      </c>
      <c r="F4" s="458">
        <v>81</v>
      </c>
      <c r="G4" s="465" t="s">
        <v>344</v>
      </c>
      <c r="H4" s="458">
        <v>74</v>
      </c>
      <c r="I4" s="465" t="s">
        <v>345</v>
      </c>
      <c r="J4" s="458">
        <v>64</v>
      </c>
      <c r="K4" s="501"/>
      <c r="L4" s="496"/>
      <c r="M4" s="481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3"/>
    </row>
    <row r="5" spans="1:26" ht="24" customHeight="1" thickBot="1">
      <c r="A5" s="859"/>
      <c r="B5" s="860"/>
      <c r="C5" s="457" t="s">
        <v>346</v>
      </c>
      <c r="D5" s="458">
        <v>92</v>
      </c>
      <c r="E5" s="465" t="s">
        <v>589</v>
      </c>
      <c r="F5" s="458">
        <v>82</v>
      </c>
      <c r="G5" s="465" t="s">
        <v>590</v>
      </c>
      <c r="H5" s="458">
        <v>73</v>
      </c>
      <c r="I5" s="465" t="s">
        <v>591</v>
      </c>
      <c r="J5" s="458">
        <v>65</v>
      </c>
      <c r="K5" s="502"/>
      <c r="L5" s="484"/>
      <c r="M5" s="396"/>
      <c r="N5" s="394" t="s">
        <v>397</v>
      </c>
      <c r="O5" s="395" t="s">
        <v>396</v>
      </c>
      <c r="P5" s="394">
        <v>0.05</v>
      </c>
      <c r="Q5" s="393"/>
      <c r="R5" s="393"/>
      <c r="S5" s="393"/>
      <c r="T5" s="396"/>
      <c r="U5" s="394" t="s">
        <v>397</v>
      </c>
      <c r="V5" s="395" t="s">
        <v>396</v>
      </c>
      <c r="W5" s="394">
        <v>0.05</v>
      </c>
      <c r="X5" s="393"/>
      <c r="Y5" s="393"/>
      <c r="Z5" s="484"/>
    </row>
    <row r="6" spans="1:26" ht="24" customHeight="1" thickBot="1">
      <c r="A6" s="859"/>
      <c r="B6" s="860"/>
      <c r="C6" s="457" t="s">
        <v>2</v>
      </c>
      <c r="D6" s="458">
        <v>94</v>
      </c>
      <c r="E6" s="465" t="s">
        <v>21</v>
      </c>
      <c r="F6" s="458">
        <v>86</v>
      </c>
      <c r="G6" s="465" t="s">
        <v>168</v>
      </c>
      <c r="H6" s="458">
        <v>71</v>
      </c>
      <c r="I6" s="465" t="s">
        <v>23</v>
      </c>
      <c r="J6" s="458">
        <v>64</v>
      </c>
      <c r="K6" s="503"/>
      <c r="L6" s="484"/>
      <c r="M6" s="396"/>
      <c r="N6" s="455" t="s">
        <v>398</v>
      </c>
      <c r="O6" s="455" t="s">
        <v>432</v>
      </c>
      <c r="P6" s="479" t="s">
        <v>582</v>
      </c>
      <c r="Q6" s="479" t="s">
        <v>682</v>
      </c>
      <c r="R6" s="479" t="s">
        <v>395</v>
      </c>
      <c r="S6" s="456" t="s">
        <v>392</v>
      </c>
      <c r="T6" s="454"/>
      <c r="U6" s="455" t="s">
        <v>398</v>
      </c>
      <c r="V6" s="455" t="s">
        <v>432</v>
      </c>
      <c r="W6" s="479" t="s">
        <v>582</v>
      </c>
      <c r="X6" s="479" t="s">
        <v>682</v>
      </c>
      <c r="Y6" s="477" t="s">
        <v>194</v>
      </c>
      <c r="Z6" s="485" t="s">
        <v>348</v>
      </c>
    </row>
    <row r="7" spans="1:26" ht="24" customHeight="1" thickBot="1">
      <c r="A7" s="859"/>
      <c r="B7" s="860"/>
      <c r="C7" s="457" t="s">
        <v>24</v>
      </c>
      <c r="D7" s="458">
        <v>87</v>
      </c>
      <c r="E7" s="465" t="s">
        <v>25</v>
      </c>
      <c r="F7" s="458">
        <v>81</v>
      </c>
      <c r="G7" s="465" t="s">
        <v>173</v>
      </c>
      <c r="H7" s="458">
        <v>72</v>
      </c>
      <c r="I7" s="465" t="s">
        <v>176</v>
      </c>
      <c r="J7" s="458">
        <v>63</v>
      </c>
      <c r="K7" s="503"/>
      <c r="L7" s="484"/>
      <c r="M7" s="393"/>
      <c r="N7" s="393" t="s">
        <v>183</v>
      </c>
      <c r="O7" s="397">
        <f>C1-1</f>
        <v>3</v>
      </c>
      <c r="P7" s="398">
        <f>SUMSQ(D9:J9)/G1-L9^2/K1</f>
        <v>1979.4000000000087</v>
      </c>
      <c r="Q7" s="399">
        <f>P7/O7</f>
        <v>659.80000000000291</v>
      </c>
      <c r="R7" s="399">
        <f>Q7/Q8</f>
        <v>84.185007974485941</v>
      </c>
      <c r="S7" s="399">
        <f>FINV(P5,O7,O8)</f>
        <v>2.9011195881551242</v>
      </c>
      <c r="T7" s="396"/>
      <c r="U7" s="393" t="s">
        <v>183</v>
      </c>
      <c r="V7" s="397">
        <f>C1-1</f>
        <v>3</v>
      </c>
      <c r="W7" s="398">
        <f>SUMSQ(D9:J9)/G1-L9^2/K1</f>
        <v>1979.4000000000087</v>
      </c>
      <c r="X7" s="399">
        <f>W7/V7</f>
        <v>659.80000000000291</v>
      </c>
      <c r="Y7" s="478">
        <f>X7/X8</f>
        <v>77.39589442815614</v>
      </c>
      <c r="Z7" s="486">
        <f>FINV(W5,V7,V8)</f>
        <v>3.2388715223610909</v>
      </c>
    </row>
    <row r="8" spans="1:26" ht="24" customHeight="1" thickBot="1">
      <c r="A8" s="859"/>
      <c r="B8" s="860"/>
      <c r="C8" s="452" t="s">
        <v>177</v>
      </c>
      <c r="D8" s="459">
        <v>94</v>
      </c>
      <c r="E8" s="466" t="s">
        <v>178</v>
      </c>
      <c r="F8" s="459">
        <v>83</v>
      </c>
      <c r="G8" s="466" t="s">
        <v>333</v>
      </c>
      <c r="H8" s="459">
        <v>72</v>
      </c>
      <c r="I8" s="466" t="s">
        <v>334</v>
      </c>
      <c r="J8" s="459">
        <v>62</v>
      </c>
      <c r="K8" s="503"/>
      <c r="L8" s="484"/>
      <c r="M8" s="393"/>
      <c r="N8" s="393" t="s">
        <v>393</v>
      </c>
      <c r="O8" s="397">
        <v>32</v>
      </c>
      <c r="P8" s="398"/>
      <c r="Q8" s="399">
        <v>7.8374999999996362</v>
      </c>
      <c r="R8" s="399"/>
      <c r="S8" s="399"/>
      <c r="T8" s="396"/>
      <c r="U8" s="393" t="s">
        <v>393</v>
      </c>
      <c r="V8" s="397">
        <f>C1*(G1-1)</f>
        <v>16</v>
      </c>
      <c r="W8" s="398">
        <f>SUMSQ(C4:J8)-SUMSQ(C9:J9)/G1</f>
        <v>136.39999999999418</v>
      </c>
      <c r="X8" s="399">
        <f>W8/V8</f>
        <v>8.5249999999996362</v>
      </c>
      <c r="Y8" s="399"/>
      <c r="Z8" s="487"/>
    </row>
    <row r="9" spans="1:26" ht="24" customHeight="1" thickBot="1">
      <c r="A9" s="859"/>
      <c r="B9" s="860"/>
      <c r="C9" s="457" t="s">
        <v>504</v>
      </c>
      <c r="D9" s="460">
        <f>SUM(D4:D8)</f>
        <v>449</v>
      </c>
      <c r="E9" s="465" t="s">
        <v>505</v>
      </c>
      <c r="F9" s="460">
        <f>SUM(F4:F8)</f>
        <v>413</v>
      </c>
      <c r="G9" s="465" t="s">
        <v>506</v>
      </c>
      <c r="H9" s="460">
        <f>SUM(H4:H8)</f>
        <v>362</v>
      </c>
      <c r="I9" s="465" t="s">
        <v>442</v>
      </c>
      <c r="J9" s="460">
        <f>SUM(J4:J8)</f>
        <v>318</v>
      </c>
      <c r="K9" s="465" t="s">
        <v>443</v>
      </c>
      <c r="L9" s="497">
        <f>D9+F9+H9+J9</f>
        <v>1542</v>
      </c>
      <c r="M9" s="393"/>
      <c r="N9" s="393"/>
      <c r="O9" s="393"/>
      <c r="P9" s="393"/>
      <c r="Q9" s="393"/>
      <c r="R9" s="393"/>
      <c r="S9" s="393"/>
      <c r="T9" s="396"/>
      <c r="U9" s="393"/>
      <c r="V9" s="393"/>
      <c r="W9" s="393"/>
      <c r="X9" s="393"/>
      <c r="Y9" s="393"/>
      <c r="Z9" s="484"/>
    </row>
    <row r="10" spans="1:26" ht="24" customHeight="1" thickBot="1">
      <c r="A10" s="859"/>
      <c r="B10" s="860"/>
      <c r="C10" s="471" t="s">
        <v>20</v>
      </c>
      <c r="D10" s="472">
        <f>D9/$G$1</f>
        <v>89.8</v>
      </c>
      <c r="E10" s="473" t="s">
        <v>165</v>
      </c>
      <c r="F10" s="472">
        <f>F9/$G$1</f>
        <v>82.6</v>
      </c>
      <c r="G10" s="473" t="s">
        <v>166</v>
      </c>
      <c r="H10" s="472">
        <f>H9/$G$1</f>
        <v>72.400000000000006</v>
      </c>
      <c r="I10" s="473" t="s">
        <v>167</v>
      </c>
      <c r="J10" s="472">
        <f>J9/$G$1</f>
        <v>63.6</v>
      </c>
      <c r="K10" s="473" t="s">
        <v>663</v>
      </c>
      <c r="L10" s="498">
        <f>L9/$K$1</f>
        <v>77.099999999999994</v>
      </c>
      <c r="M10" s="474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88"/>
    </row>
    <row r="11" spans="1:26" ht="24" customHeight="1" thickBot="1">
      <c r="A11" s="859"/>
      <c r="B11" s="861" t="s">
        <v>116</v>
      </c>
      <c r="C11" s="461" t="s">
        <v>664</v>
      </c>
      <c r="D11" s="462">
        <v>62</v>
      </c>
      <c r="E11" s="467" t="s">
        <v>665</v>
      </c>
      <c r="F11" s="462">
        <v>63</v>
      </c>
      <c r="G11" s="467" t="s">
        <v>545</v>
      </c>
      <c r="H11" s="462">
        <v>61</v>
      </c>
      <c r="I11" s="467" t="s">
        <v>546</v>
      </c>
      <c r="J11" s="462">
        <v>60</v>
      </c>
      <c r="K11" s="504"/>
      <c r="L11" s="49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90"/>
    </row>
    <row r="12" spans="1:26" ht="24" customHeight="1" thickBot="1">
      <c r="A12" s="859"/>
      <c r="B12" s="861"/>
      <c r="C12" s="461" t="s">
        <v>547</v>
      </c>
      <c r="D12" s="462">
        <v>63</v>
      </c>
      <c r="E12" s="467" t="s">
        <v>548</v>
      </c>
      <c r="F12" s="462">
        <v>62</v>
      </c>
      <c r="G12" s="467" t="s">
        <v>433</v>
      </c>
      <c r="H12" s="462">
        <v>66</v>
      </c>
      <c r="I12" s="467" t="s">
        <v>129</v>
      </c>
      <c r="J12" s="462">
        <v>64</v>
      </c>
      <c r="K12" s="505"/>
      <c r="L12" s="491"/>
      <c r="M12" s="401"/>
      <c r="N12" s="269" t="s">
        <v>397</v>
      </c>
      <c r="O12" s="400" t="s">
        <v>396</v>
      </c>
      <c r="P12" s="269">
        <v>0.05</v>
      </c>
      <c r="Q12" s="234"/>
      <c r="R12" s="234"/>
      <c r="S12" s="234"/>
      <c r="T12" s="401"/>
      <c r="U12" s="269" t="s">
        <v>397</v>
      </c>
      <c r="V12" s="400" t="s">
        <v>396</v>
      </c>
      <c r="W12" s="269">
        <v>0.05</v>
      </c>
      <c r="X12" s="234"/>
      <c r="Y12" s="234"/>
      <c r="Z12" s="491"/>
    </row>
    <row r="13" spans="1:26" ht="24" customHeight="1" thickBot="1">
      <c r="A13" s="859"/>
      <c r="B13" s="861"/>
      <c r="C13" s="461" t="s">
        <v>95</v>
      </c>
      <c r="D13" s="462">
        <v>63</v>
      </c>
      <c r="E13" s="467" t="s">
        <v>130</v>
      </c>
      <c r="F13" s="462">
        <v>69</v>
      </c>
      <c r="G13" s="467" t="s">
        <v>131</v>
      </c>
      <c r="H13" s="462">
        <v>65</v>
      </c>
      <c r="I13" s="467" t="s">
        <v>132</v>
      </c>
      <c r="J13" s="462">
        <v>65</v>
      </c>
      <c r="K13" s="489"/>
      <c r="L13" s="491"/>
      <c r="M13" s="401"/>
      <c r="N13" s="446" t="s">
        <v>398</v>
      </c>
      <c r="O13" s="446" t="s">
        <v>432</v>
      </c>
      <c r="P13" s="449" t="s">
        <v>582</v>
      </c>
      <c r="Q13" s="449" t="s">
        <v>682</v>
      </c>
      <c r="R13" s="449" t="s">
        <v>395</v>
      </c>
      <c r="S13" s="253" t="s">
        <v>392</v>
      </c>
      <c r="T13" s="450"/>
      <c r="U13" s="446" t="s">
        <v>398</v>
      </c>
      <c r="V13" s="446" t="s">
        <v>432</v>
      </c>
      <c r="W13" s="449" t="s">
        <v>582</v>
      </c>
      <c r="X13" s="449" t="s">
        <v>682</v>
      </c>
      <c r="Y13" s="480" t="s">
        <v>9</v>
      </c>
      <c r="Z13" s="492" t="s">
        <v>10</v>
      </c>
    </row>
    <row r="14" spans="1:26" ht="24" customHeight="1" thickBot="1">
      <c r="A14" s="859"/>
      <c r="B14" s="861"/>
      <c r="C14" s="461" t="s">
        <v>286</v>
      </c>
      <c r="D14" s="462">
        <v>64</v>
      </c>
      <c r="E14" s="467" t="s">
        <v>287</v>
      </c>
      <c r="F14" s="462">
        <v>62</v>
      </c>
      <c r="G14" s="467" t="s">
        <v>144</v>
      </c>
      <c r="H14" s="462">
        <v>60</v>
      </c>
      <c r="I14" s="467" t="s">
        <v>145</v>
      </c>
      <c r="J14" s="462">
        <v>58</v>
      </c>
      <c r="K14" s="489"/>
      <c r="L14" s="491"/>
      <c r="M14" s="401"/>
      <c r="N14" s="234" t="s">
        <v>183</v>
      </c>
      <c r="O14" s="213">
        <f>C1-1</f>
        <v>3</v>
      </c>
      <c r="P14" s="402">
        <f>SUMSQ(D16:J16)/G1-L16^2/K1</f>
        <v>19.75</v>
      </c>
      <c r="Q14" s="403">
        <f>P14/O14</f>
        <v>6.583333333333333</v>
      </c>
      <c r="R14" s="403">
        <f>Q14/Q15</f>
        <v>0.83997873471561579</v>
      </c>
      <c r="S14" s="403">
        <f>FINV(P12,O14,O15)</f>
        <v>2.9011195881551242</v>
      </c>
      <c r="T14" s="401"/>
      <c r="U14" s="234" t="s">
        <v>183</v>
      </c>
      <c r="V14" s="213">
        <f>C1-1</f>
        <v>3</v>
      </c>
      <c r="W14" s="402">
        <f>SUMSQ(D16:J16)/G1-L16^2/K1</f>
        <v>19.75</v>
      </c>
      <c r="X14" s="403">
        <f>W14/V14</f>
        <v>6.583333333333333</v>
      </c>
      <c r="Y14" s="478">
        <f>X14/X15</f>
        <v>0.92397660818713445</v>
      </c>
      <c r="Z14" s="486">
        <f>FINV(W12,V14,V15)</f>
        <v>3.2388715223610909</v>
      </c>
    </row>
    <row r="15" spans="1:26" ht="24" customHeight="1" thickBot="1">
      <c r="A15" s="859"/>
      <c r="B15" s="861"/>
      <c r="C15" s="453" t="s">
        <v>291</v>
      </c>
      <c r="D15" s="463">
        <v>61</v>
      </c>
      <c r="E15" s="468" t="s">
        <v>292</v>
      </c>
      <c r="F15" s="463">
        <v>66</v>
      </c>
      <c r="G15" s="468" t="s">
        <v>293</v>
      </c>
      <c r="H15" s="463">
        <v>59</v>
      </c>
      <c r="I15" s="468" t="s">
        <v>148</v>
      </c>
      <c r="J15" s="463">
        <v>62</v>
      </c>
      <c r="K15" s="489"/>
      <c r="L15" s="491"/>
      <c r="M15" s="401"/>
      <c r="N15" s="234" t="s">
        <v>393</v>
      </c>
      <c r="O15" s="213">
        <v>32</v>
      </c>
      <c r="P15" s="402"/>
      <c r="Q15" s="403">
        <v>7.8374999999996362</v>
      </c>
      <c r="R15" s="403"/>
      <c r="S15" s="403"/>
      <c r="T15" s="401"/>
      <c r="U15" s="234" t="s">
        <v>393</v>
      </c>
      <c r="V15" s="213">
        <f>C1*(G1-1)</f>
        <v>16</v>
      </c>
      <c r="W15" s="402">
        <f>SUMSQ(C11:J15)-SUMSQ(C16:J16)/G1</f>
        <v>114</v>
      </c>
      <c r="X15" s="403">
        <f>W15/V15</f>
        <v>7.125</v>
      </c>
      <c r="Y15" s="403"/>
      <c r="Z15" s="493"/>
    </row>
    <row r="16" spans="1:26" ht="24" customHeight="1" thickBot="1">
      <c r="A16" s="859"/>
      <c r="B16" s="861"/>
      <c r="C16" s="461" t="s">
        <v>221</v>
      </c>
      <c r="D16" s="464">
        <f>SUM(D11:D15)</f>
        <v>313</v>
      </c>
      <c r="E16" s="467" t="s">
        <v>88</v>
      </c>
      <c r="F16" s="464">
        <f>SUM(F11:F15)</f>
        <v>322</v>
      </c>
      <c r="G16" s="467" t="s">
        <v>475</v>
      </c>
      <c r="H16" s="464">
        <f>SUM(H11:H15)</f>
        <v>311</v>
      </c>
      <c r="I16" s="467" t="s">
        <v>476</v>
      </c>
      <c r="J16" s="464">
        <f>SUM(J11:J15)</f>
        <v>309</v>
      </c>
      <c r="K16" s="467" t="s">
        <v>477</v>
      </c>
      <c r="L16" s="499">
        <f>D16+F16+H16+J16</f>
        <v>1255</v>
      </c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90"/>
    </row>
    <row r="17" spans="1:26" ht="24" customHeight="1" thickBot="1">
      <c r="A17" s="859"/>
      <c r="B17" s="861"/>
      <c r="C17" s="469" t="s">
        <v>222</v>
      </c>
      <c r="D17" s="470">
        <f>D16/$G$1</f>
        <v>62.6</v>
      </c>
      <c r="E17" s="272" t="s">
        <v>417</v>
      </c>
      <c r="F17" s="470">
        <f>F16/$G$1</f>
        <v>64.400000000000006</v>
      </c>
      <c r="G17" s="272" t="s">
        <v>418</v>
      </c>
      <c r="H17" s="470">
        <f>H16/$G$1</f>
        <v>62.2</v>
      </c>
      <c r="I17" s="272" t="s">
        <v>419</v>
      </c>
      <c r="J17" s="470">
        <f>J16/$G$1</f>
        <v>61.8</v>
      </c>
      <c r="K17" s="272" t="s">
        <v>420</v>
      </c>
      <c r="L17" s="500">
        <f>L16/$K$1</f>
        <v>62.75</v>
      </c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5"/>
    </row>
    <row r="18" spans="1:26" ht="20" thickBot="1"/>
    <row r="19" spans="1:26">
      <c r="B19" s="291" t="s">
        <v>300</v>
      </c>
      <c r="C19" s="391" t="s">
        <v>459</v>
      </c>
      <c r="D19" s="293" t="s">
        <v>460</v>
      </c>
      <c r="H19" s="404" t="s">
        <v>6</v>
      </c>
      <c r="I19" s="405">
        <v>7.8374999999996362</v>
      </c>
    </row>
    <row r="20" spans="1:26" ht="20" thickBot="1">
      <c r="B20" s="242">
        <v>1</v>
      </c>
      <c r="C20" s="392">
        <f>D10</f>
        <v>89.8</v>
      </c>
      <c r="D20" s="372">
        <f>D17</f>
        <v>62.6</v>
      </c>
      <c r="H20" s="406" t="s">
        <v>7</v>
      </c>
      <c r="I20" s="407">
        <f>SQRT(I19/G1)*TINV(0.05,O15)</f>
        <v>2.5502372807883549</v>
      </c>
    </row>
    <row r="21" spans="1:26" ht="19" customHeight="1">
      <c r="A21" s="374"/>
      <c r="B21" s="242">
        <v>15</v>
      </c>
      <c r="C21" s="392">
        <f>F10</f>
        <v>82.6</v>
      </c>
      <c r="D21" s="372">
        <f>F17</f>
        <v>64.400000000000006</v>
      </c>
    </row>
    <row r="22" spans="1:26" ht="19" customHeight="1">
      <c r="A22" s="374"/>
      <c r="B22" s="242">
        <v>30</v>
      </c>
      <c r="C22" s="392">
        <f>H10</f>
        <v>72.400000000000006</v>
      </c>
      <c r="D22" s="372">
        <f>H17</f>
        <v>62.2</v>
      </c>
      <c r="G22" s="17"/>
      <c r="H22" s="40"/>
      <c r="I22" s="40"/>
      <c r="J22" s="40"/>
    </row>
    <row r="23" spans="1:26" ht="19" customHeight="1">
      <c r="A23" s="374"/>
      <c r="B23" s="242">
        <v>45</v>
      </c>
      <c r="C23" s="392">
        <f>J10</f>
        <v>63.6</v>
      </c>
      <c r="D23" s="372">
        <f>J17</f>
        <v>61.8</v>
      </c>
      <c r="G23" s="17"/>
      <c r="H23" s="40"/>
      <c r="I23" s="40"/>
      <c r="J23" s="40"/>
    </row>
    <row r="24" spans="1:26" ht="19" customHeight="1">
      <c r="A24" s="374"/>
      <c r="G24" s="40"/>
      <c r="H24" s="40"/>
      <c r="I24" s="40"/>
      <c r="J24" s="40"/>
    </row>
    <row r="25" spans="1:26" ht="19" customHeight="1">
      <c r="A25" s="374"/>
      <c r="G25" s="40"/>
      <c r="H25" s="40"/>
      <c r="I25" s="40"/>
      <c r="J25" s="40"/>
    </row>
    <row r="26" spans="1:26">
      <c r="A26" s="50"/>
      <c r="B26" s="40"/>
      <c r="C26" s="50"/>
      <c r="D26" s="40"/>
      <c r="E26" s="40"/>
      <c r="F26" s="374"/>
      <c r="G26" s="178"/>
      <c r="H26" s="178"/>
      <c r="I26" s="374"/>
      <c r="J26" s="374"/>
    </row>
    <row r="27" spans="1:26">
      <c r="A27" s="43"/>
      <c r="B27" s="40"/>
      <c r="C27" s="41"/>
      <c r="D27" s="42"/>
      <c r="E27" s="41"/>
      <c r="F27" s="175"/>
      <c r="G27" s="178"/>
      <c r="H27" s="178"/>
      <c r="I27" s="374"/>
      <c r="J27" s="374"/>
    </row>
    <row r="28" spans="1:26">
      <c r="A28" s="50"/>
      <c r="B28" s="40"/>
      <c r="C28" s="41"/>
      <c r="D28" s="42"/>
      <c r="E28" s="41"/>
      <c r="F28" s="175"/>
      <c r="G28" s="175"/>
      <c r="H28" s="175"/>
      <c r="I28" s="374"/>
      <c r="J28" s="374"/>
    </row>
    <row r="29" spans="1:26">
      <c r="A29" s="25"/>
      <c r="B29" s="40"/>
      <c r="C29" s="50"/>
      <c r="D29" s="43"/>
      <c r="E29" s="50"/>
      <c r="F29" s="179"/>
      <c r="G29" s="179"/>
      <c r="H29" s="179"/>
      <c r="I29" s="374"/>
      <c r="J29" s="374"/>
    </row>
    <row r="30" spans="1:26">
      <c r="A30" s="25"/>
      <c r="B30" s="40"/>
      <c r="C30" s="40"/>
      <c r="D30" s="40"/>
      <c r="E30" s="40"/>
      <c r="F30" s="374"/>
      <c r="G30" s="374"/>
      <c r="H30" s="374"/>
      <c r="I30" s="374"/>
      <c r="J30" s="374"/>
    </row>
    <row r="31" spans="1:26">
      <c r="A31" s="25"/>
      <c r="B31" s="40"/>
      <c r="C31" s="40"/>
      <c r="D31" s="40"/>
      <c r="E31" s="40"/>
      <c r="F31" s="374"/>
      <c r="G31" s="374"/>
      <c r="H31" s="374"/>
      <c r="I31" s="374"/>
      <c r="J31" s="374"/>
    </row>
    <row r="32" spans="1:26">
      <c r="A32" s="25"/>
      <c r="B32" s="40"/>
      <c r="C32" s="40"/>
      <c r="D32" s="40"/>
      <c r="E32" s="40"/>
      <c r="F32" s="374"/>
      <c r="G32" s="374"/>
      <c r="H32" s="374"/>
      <c r="I32" s="374"/>
      <c r="J32" s="374"/>
    </row>
    <row r="33" spans="1:11">
      <c r="A33" s="40"/>
      <c r="B33" s="40"/>
      <c r="C33" s="40"/>
      <c r="D33" s="40"/>
      <c r="E33" s="40"/>
      <c r="F33" s="374"/>
      <c r="G33" s="374"/>
      <c r="H33" s="374"/>
      <c r="I33" s="374"/>
      <c r="J33" s="374"/>
      <c r="K33" s="23"/>
    </row>
    <row r="34" spans="1:11">
      <c r="A34" s="40"/>
      <c r="B34" s="40"/>
      <c r="C34" s="40"/>
      <c r="D34" s="40"/>
      <c r="E34" s="40"/>
      <c r="F34" s="374"/>
      <c r="G34" s="374"/>
      <c r="H34" s="374"/>
      <c r="I34" s="374"/>
      <c r="J34" s="374"/>
      <c r="K34" s="23"/>
    </row>
    <row r="35" spans="1:11">
      <c r="A35" s="40"/>
      <c r="B35" s="40"/>
      <c r="C35" s="40"/>
      <c r="D35" s="40"/>
      <c r="E35" s="40"/>
      <c r="F35" s="374"/>
      <c r="G35" s="374"/>
      <c r="H35" s="374"/>
      <c r="I35" s="374"/>
      <c r="J35" s="374"/>
      <c r="K35" s="23"/>
    </row>
    <row r="36" spans="1:11">
      <c r="A36" s="40"/>
      <c r="B36" s="40"/>
      <c r="C36" s="40"/>
      <c r="D36" s="40"/>
      <c r="E36" s="40"/>
      <c r="F36" s="40"/>
      <c r="G36" s="40"/>
      <c r="H36" s="40"/>
      <c r="I36" s="374"/>
      <c r="J36" s="374"/>
      <c r="K36" s="23"/>
    </row>
    <row r="37" spans="1:11">
      <c r="I37" s="23"/>
      <c r="J37" s="23"/>
      <c r="K37" s="23"/>
    </row>
    <row r="38" spans="1:11">
      <c r="I38" s="23"/>
      <c r="J38" s="23"/>
      <c r="K38" s="23"/>
    </row>
  </sheetData>
  <sheetCalcPr fullCalcOnLoad="1"/>
  <mergeCells count="9">
    <mergeCell ref="U2:Z2"/>
    <mergeCell ref="E3:F3"/>
    <mergeCell ref="G3:H3"/>
    <mergeCell ref="I3:J3"/>
    <mergeCell ref="A4:A17"/>
    <mergeCell ref="B4:B10"/>
    <mergeCell ref="B11:B17"/>
    <mergeCell ref="C2:J2"/>
    <mergeCell ref="C3:D3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6"/>
  <sheetViews>
    <sheetView zoomScale="125" zoomScaleNormal="140" zoomScalePageLayoutView="140" workbookViewId="0">
      <selection activeCell="B2" sqref="B2"/>
    </sheetView>
  </sheetViews>
  <sheetFormatPr baseColWidth="10" defaultColWidth="13.09765625" defaultRowHeight="26" customHeight="1"/>
  <cols>
    <col min="1" max="1" width="7.3984375" style="119" customWidth="1"/>
    <col min="2" max="2" width="13.09765625" style="119"/>
    <col min="3" max="6" width="9.3984375" style="119" customWidth="1"/>
    <col min="7" max="9" width="10.69921875" style="119" customWidth="1"/>
    <col min="10" max="11" width="9.69921875" style="119" customWidth="1"/>
    <col min="12" max="16384" width="13.09765625" style="119"/>
  </cols>
  <sheetData>
    <row r="1" spans="1:7" ht="26" customHeight="1">
      <c r="A1" s="154" t="s">
        <v>448</v>
      </c>
      <c r="B1" s="155">
        <v>1</v>
      </c>
      <c r="C1" s="154"/>
      <c r="D1" s="561" t="s">
        <v>172</v>
      </c>
      <c r="E1" s="559">
        <v>12</v>
      </c>
      <c r="F1" s="153"/>
    </row>
    <row r="2" spans="1:7" ht="26" customHeight="1">
      <c r="A2" s="154" t="s">
        <v>170</v>
      </c>
      <c r="B2" s="559">
        <v>2</v>
      </c>
      <c r="C2" s="154"/>
      <c r="D2" s="556"/>
      <c r="E2" s="556"/>
      <c r="F2" s="556"/>
    </row>
    <row r="3" spans="1:7" ht="26" customHeight="1">
      <c r="A3" s="154"/>
      <c r="B3" s="154"/>
      <c r="C3" s="562" t="s">
        <v>328</v>
      </c>
      <c r="D3" s="555">
        <v>-4</v>
      </c>
      <c r="E3" s="555">
        <v>1</v>
      </c>
      <c r="F3" s="555">
        <v>3</v>
      </c>
    </row>
    <row r="4" spans="1:7" ht="26" customHeight="1">
      <c r="A4" s="154"/>
      <c r="B4" s="165"/>
      <c r="C4" s="562" t="s">
        <v>34</v>
      </c>
      <c r="D4" s="153">
        <f>$E$1+D3</f>
        <v>8</v>
      </c>
      <c r="E4" s="153">
        <f t="shared" ref="E4:F4" si="0">$E$1+E3</f>
        <v>13</v>
      </c>
      <c r="F4" s="153">
        <f t="shared" si="0"/>
        <v>15</v>
      </c>
    </row>
    <row r="5" spans="1:7" ht="26" customHeight="1">
      <c r="A5" s="154"/>
      <c r="B5" s="165"/>
      <c r="C5" s="226" t="s">
        <v>396</v>
      </c>
      <c r="D5" s="227">
        <v>0.05</v>
      </c>
      <c r="E5" s="210" t="s">
        <v>691</v>
      </c>
      <c r="F5" s="211">
        <v>0.95</v>
      </c>
    </row>
    <row r="6" spans="1:7" s="89" customFormat="1" ht="26" customHeight="1">
      <c r="A6" s="154"/>
      <c r="B6" s="165"/>
      <c r="C6" s="216"/>
      <c r="D6" s="863" t="s">
        <v>318</v>
      </c>
      <c r="E6" s="863"/>
      <c r="F6" s="863"/>
    </row>
    <row r="7" spans="1:7" s="89" customFormat="1" ht="26" customHeight="1">
      <c r="A7" s="154"/>
      <c r="B7" s="171" t="s">
        <v>322</v>
      </c>
      <c r="C7" s="218" t="s">
        <v>323</v>
      </c>
      <c r="D7" s="554">
        <v>1</v>
      </c>
      <c r="E7" s="554">
        <v>10</v>
      </c>
      <c r="F7" s="554">
        <v>25</v>
      </c>
      <c r="G7" s="136"/>
    </row>
    <row r="8" spans="1:7" ht="26" customHeight="1">
      <c r="A8" s="154"/>
      <c r="B8" s="153">
        <f t="shared" ref="B8:B17" ca="1" si="1">NORMINV(RAND(),0,$B$2)</f>
        <v>0.17638649899556458</v>
      </c>
      <c r="C8" s="158">
        <v>1</v>
      </c>
      <c r="D8" s="158">
        <f ca="1">ROUND($E$1+D$3+$B8+ NORMINV(RAND(),0,$B$1),0)</f>
        <v>10</v>
      </c>
      <c r="E8" s="158">
        <f t="shared" ref="E8:F17" ca="1" si="2">ROUND($E$1+E$3+$B8+ NORMINV(RAND(),0,$B$1),0)</f>
        <v>15</v>
      </c>
      <c r="F8" s="158">
        <f t="shared" ca="1" si="2"/>
        <v>14</v>
      </c>
      <c r="G8" s="553"/>
    </row>
    <row r="9" spans="1:7" ht="26" customHeight="1">
      <c r="A9" s="154"/>
      <c r="B9" s="153">
        <f t="shared" ca="1" si="1"/>
        <v>-0.26932327244541032</v>
      </c>
      <c r="C9" s="158">
        <v>2</v>
      </c>
      <c r="D9" s="158">
        <f t="shared" ref="D9:D17" ca="1" si="3">ROUND($E$1+D$3+$B9+ NORMINV(RAND(),0,$B$1),0)</f>
        <v>9</v>
      </c>
      <c r="E9" s="158">
        <f t="shared" ca="1" si="2"/>
        <v>13</v>
      </c>
      <c r="F9" s="158">
        <f t="shared" ca="1" si="2"/>
        <v>15</v>
      </c>
      <c r="G9" s="553"/>
    </row>
    <row r="10" spans="1:7" ht="26" customHeight="1">
      <c r="A10" s="154"/>
      <c r="B10" s="153">
        <f t="shared" ca="1" si="1"/>
        <v>0.29808647105676289</v>
      </c>
      <c r="C10" s="158">
        <v>3</v>
      </c>
      <c r="D10" s="158">
        <f t="shared" ca="1" si="3"/>
        <v>6</v>
      </c>
      <c r="E10" s="158">
        <f t="shared" ca="1" si="2"/>
        <v>14</v>
      </c>
      <c r="F10" s="158">
        <f t="shared" ca="1" si="2"/>
        <v>15</v>
      </c>
      <c r="G10" s="553"/>
    </row>
    <row r="11" spans="1:7" ht="26" customHeight="1">
      <c r="A11" s="154"/>
      <c r="B11" s="153">
        <f t="shared" ca="1" si="1"/>
        <v>-1.4400734731289666</v>
      </c>
      <c r="C11" s="158">
        <v>4</v>
      </c>
      <c r="D11" s="158">
        <f t="shared" ca="1" si="3"/>
        <v>5</v>
      </c>
      <c r="E11" s="158">
        <f t="shared" ca="1" si="2"/>
        <v>12</v>
      </c>
      <c r="F11" s="158">
        <f t="shared" ca="1" si="2"/>
        <v>14</v>
      </c>
    </row>
    <row r="12" spans="1:7" ht="26" customHeight="1">
      <c r="A12" s="154"/>
      <c r="B12" s="153">
        <f t="shared" ca="1" si="1"/>
        <v>4.6821614677131258</v>
      </c>
      <c r="C12" s="158">
        <v>5</v>
      </c>
      <c r="D12" s="158">
        <f t="shared" ca="1" si="3"/>
        <v>10</v>
      </c>
      <c r="E12" s="158">
        <f t="shared" ca="1" si="2"/>
        <v>19</v>
      </c>
      <c r="F12" s="158">
        <f t="shared" ca="1" si="2"/>
        <v>19</v>
      </c>
    </row>
    <row r="13" spans="1:7" ht="26" customHeight="1">
      <c r="A13" s="154"/>
      <c r="B13" s="153">
        <f t="shared" ca="1" si="1"/>
        <v>1.3350985534780286</v>
      </c>
      <c r="C13" s="158">
        <v>6</v>
      </c>
      <c r="D13" s="158">
        <f t="shared" ca="1" si="3"/>
        <v>9</v>
      </c>
      <c r="E13" s="158">
        <f t="shared" ca="1" si="2"/>
        <v>14</v>
      </c>
      <c r="F13" s="158">
        <f t="shared" ca="1" si="2"/>
        <v>16</v>
      </c>
    </row>
    <row r="14" spans="1:7" ht="26" customHeight="1">
      <c r="A14" s="154"/>
      <c r="B14" s="153">
        <f t="shared" ca="1" si="1"/>
        <v>-1.2318266526035533</v>
      </c>
      <c r="C14" s="158">
        <v>7</v>
      </c>
      <c r="D14" s="158">
        <f t="shared" ca="1" si="3"/>
        <v>6</v>
      </c>
      <c r="E14" s="158">
        <f t="shared" ca="1" si="2"/>
        <v>11</v>
      </c>
      <c r="F14" s="158">
        <f t="shared" ca="1" si="2"/>
        <v>14</v>
      </c>
    </row>
    <row r="15" spans="1:7" ht="26" customHeight="1">
      <c r="A15" s="154"/>
      <c r="B15" s="153">
        <f t="shared" ca="1" si="1"/>
        <v>3.1728963217216979E-2</v>
      </c>
      <c r="C15" s="158">
        <v>8</v>
      </c>
      <c r="D15" s="158">
        <f t="shared" ca="1" si="3"/>
        <v>10</v>
      </c>
      <c r="E15" s="158">
        <f t="shared" ca="1" si="2"/>
        <v>12</v>
      </c>
      <c r="F15" s="158">
        <f t="shared" ca="1" si="2"/>
        <v>16</v>
      </c>
    </row>
    <row r="16" spans="1:7" ht="26" customHeight="1">
      <c r="A16" s="154"/>
      <c r="B16" s="153">
        <f t="shared" ca="1" si="1"/>
        <v>-3.1909377743531735</v>
      </c>
      <c r="C16" s="158">
        <v>9</v>
      </c>
      <c r="D16" s="158">
        <f t="shared" ca="1" si="3"/>
        <v>4</v>
      </c>
      <c r="E16" s="158">
        <f t="shared" ca="1" si="2"/>
        <v>11</v>
      </c>
      <c r="F16" s="158">
        <f t="shared" ca="1" si="2"/>
        <v>13</v>
      </c>
    </row>
    <row r="17" spans="1:6" ht="26" customHeight="1">
      <c r="A17" s="154"/>
      <c r="B17" s="166">
        <f t="shared" ca="1" si="1"/>
        <v>1.8567129271808605</v>
      </c>
      <c r="C17" s="160">
        <v>10</v>
      </c>
      <c r="D17" s="160">
        <f t="shared" ca="1" si="3"/>
        <v>9</v>
      </c>
      <c r="E17" s="160">
        <f t="shared" ca="1" si="2"/>
        <v>16</v>
      </c>
      <c r="F17" s="160">
        <f t="shared" ca="1" si="2"/>
        <v>18</v>
      </c>
    </row>
    <row r="18" spans="1:6" ht="26" customHeight="1">
      <c r="A18" s="154"/>
      <c r="B18" s="167">
        <f ca="1">AVERAGE(B8:B17)</f>
        <v>0.2248013709110456</v>
      </c>
      <c r="C18" s="552" t="s">
        <v>680</v>
      </c>
      <c r="D18" s="162">
        <f ca="1">SUM(D8:D17)</f>
        <v>78</v>
      </c>
      <c r="E18" s="162">
        <f ca="1">AVERAGE(E8:E17)</f>
        <v>13.7</v>
      </c>
      <c r="F18" s="162">
        <f ca="1">AVERAGE(F8:F17)</f>
        <v>15.4</v>
      </c>
    </row>
    <row r="19" spans="1:6" ht="26" customHeight="1">
      <c r="A19" s="154"/>
      <c r="B19" s="167"/>
      <c r="C19" s="552" t="s">
        <v>679</v>
      </c>
      <c r="D19" s="162">
        <f ca="1">AVERAGE(D8:D17)</f>
        <v>7.8</v>
      </c>
      <c r="E19" s="162">
        <f t="shared" ref="E19:F19" ca="1" si="4">AVERAGE(E8:E17)</f>
        <v>13.7</v>
      </c>
      <c r="F19" s="162">
        <f t="shared" ca="1" si="4"/>
        <v>15.4</v>
      </c>
    </row>
    <row r="30" spans="1:6" ht="26" customHeight="1">
      <c r="E30" s="9"/>
    </row>
    <row r="36" spans="5:5" ht="26" customHeight="1">
      <c r="E36" s="9"/>
    </row>
  </sheetData>
  <mergeCells count="1">
    <mergeCell ref="D6:F6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5"/>
  <sheetViews>
    <sheetView zoomScaleNormal="140" zoomScalePageLayoutView="140" workbookViewId="0">
      <selection activeCell="G19" sqref="G19"/>
    </sheetView>
  </sheetViews>
  <sheetFormatPr baseColWidth="10" defaultColWidth="13.09765625" defaultRowHeight="26" customHeight="1"/>
  <cols>
    <col min="1" max="1" width="13.09765625" style="119"/>
    <col min="2" max="5" width="9.3984375" style="119" customWidth="1"/>
    <col min="6" max="8" width="10.69921875" style="119" customWidth="1"/>
    <col min="9" max="10" width="9.69921875" style="119" customWidth="1"/>
    <col min="11" max="16384" width="13.09765625" style="119"/>
  </cols>
  <sheetData>
    <row r="1" spans="1:6" ht="26" customHeight="1">
      <c r="A1" s="154" t="s">
        <v>171</v>
      </c>
      <c r="B1" s="155">
        <v>1</v>
      </c>
      <c r="C1" s="165"/>
      <c r="D1" s="165"/>
      <c r="E1" s="153"/>
    </row>
    <row r="2" spans="1:6" ht="26" customHeight="1">
      <c r="A2" s="154" t="s">
        <v>170</v>
      </c>
      <c r="B2" s="559">
        <v>3</v>
      </c>
      <c r="C2" s="803" t="s">
        <v>449</v>
      </c>
      <c r="D2" s="803"/>
      <c r="E2" s="803"/>
    </row>
    <row r="3" spans="1:6" ht="26" customHeight="1">
      <c r="A3" s="165"/>
      <c r="B3" s="153"/>
      <c r="C3" s="555">
        <v>8</v>
      </c>
      <c r="D3" s="555">
        <v>13</v>
      </c>
      <c r="E3" s="555">
        <v>18</v>
      </c>
    </row>
    <row r="4" spans="1:6" ht="26" customHeight="1">
      <c r="A4" s="165"/>
      <c r="B4" s="226" t="s">
        <v>396</v>
      </c>
      <c r="C4" s="227">
        <v>0.05</v>
      </c>
      <c r="D4" s="210" t="s">
        <v>691</v>
      </c>
      <c r="E4" s="211">
        <v>0.95</v>
      </c>
    </row>
    <row r="5" spans="1:6" s="89" customFormat="1" ht="26" customHeight="1">
      <c r="A5" s="165"/>
      <c r="B5" s="216"/>
      <c r="C5" s="863" t="s">
        <v>318</v>
      </c>
      <c r="D5" s="863"/>
      <c r="E5" s="863"/>
    </row>
    <row r="6" spans="1:6" s="89" customFormat="1" ht="26" customHeight="1">
      <c r="A6" s="171" t="s">
        <v>322</v>
      </c>
      <c r="B6" s="218" t="s">
        <v>323</v>
      </c>
      <c r="C6" s="554">
        <v>1</v>
      </c>
      <c r="D6" s="554">
        <v>10</v>
      </c>
      <c r="E6" s="554">
        <v>25</v>
      </c>
      <c r="F6" s="136"/>
    </row>
    <row r="7" spans="1:6" ht="26" customHeight="1">
      <c r="A7" s="153">
        <f ca="1">NORMINV(RAND(),0,$B$2)</f>
        <v>3.4219061896352811</v>
      </c>
      <c r="B7" s="158">
        <v>1</v>
      </c>
      <c r="C7" s="158">
        <f ca="1">ROUND(NORMINV(RAND(),C$3,$B$1)+$A7,0)</f>
        <v>11</v>
      </c>
      <c r="D7" s="158">
        <f ca="1">ROUND(NORMINV(RAND(),D$3,$B$1)+$A7,0)</f>
        <v>18</v>
      </c>
      <c r="E7" s="158">
        <f ca="1">ROUND(NORMINV(RAND(),E$3,$B$1)+$A7,0)</f>
        <v>22</v>
      </c>
      <c r="F7" s="558"/>
    </row>
    <row r="8" spans="1:6" ht="26" customHeight="1">
      <c r="A8" s="153"/>
      <c r="B8" s="158"/>
      <c r="C8" s="158"/>
      <c r="D8" s="158"/>
      <c r="E8" s="158"/>
      <c r="F8" s="558"/>
    </row>
    <row r="9" spans="1:6" ht="26" customHeight="1">
      <c r="A9" s="153">
        <f ca="1">NORMINV(RAND(),0,$B$2)</f>
        <v>-0.38719985115301975</v>
      </c>
      <c r="B9" s="158">
        <v>2</v>
      </c>
      <c r="C9" s="158">
        <f ca="1">ROUND(NORMINV(RAND(),C$3,$B$1)+$A9,0)</f>
        <v>8</v>
      </c>
      <c r="D9" s="158">
        <f ca="1">ROUND(NORMINV(RAND(),D$3,$B$1)+$A9,0)</f>
        <v>14</v>
      </c>
      <c r="E9" s="158">
        <f ca="1">ROUND(NORMINV(RAND(),E$3,$B$1)+$A9,0)</f>
        <v>18</v>
      </c>
      <c r="F9" s="558"/>
    </row>
    <row r="10" spans="1:6" ht="26" customHeight="1">
      <c r="A10" s="153"/>
      <c r="B10" s="158"/>
      <c r="C10" s="158"/>
      <c r="D10" s="158"/>
      <c r="E10" s="158"/>
      <c r="F10" s="558"/>
    </row>
    <row r="11" spans="1:6" ht="26" customHeight="1">
      <c r="A11" s="153">
        <f ca="1">NORMINV(RAND(),0,$B$2)</f>
        <v>-7.5336710394092661</v>
      </c>
      <c r="B11" s="158">
        <v>3</v>
      </c>
      <c r="C11" s="158">
        <f ca="1">ROUND(NORMINV(RAND(),C$3,$B$1)+$A11,0)</f>
        <v>0</v>
      </c>
      <c r="D11" s="158">
        <f ca="1">ROUND(NORMINV(RAND(),D$3,$B$1)+$A11,0)</f>
        <v>6</v>
      </c>
      <c r="E11" s="158">
        <f ca="1">ROUND(NORMINV(RAND(),E$3,$B$1)+$A11,0)</f>
        <v>10</v>
      </c>
      <c r="F11" s="558"/>
    </row>
    <row r="12" spans="1:6" ht="26" customHeight="1">
      <c r="A12" s="153"/>
      <c r="B12" s="158"/>
      <c r="C12" s="158"/>
      <c r="D12" s="158"/>
      <c r="E12" s="158"/>
      <c r="F12" s="558"/>
    </row>
    <row r="13" spans="1:6" ht="26" customHeight="1">
      <c r="A13" s="153">
        <f ca="1">NORMINV(RAND(),0,$B$2)</f>
        <v>-3.1065221303267307</v>
      </c>
      <c r="B13" s="158">
        <v>4</v>
      </c>
      <c r="C13" s="158">
        <f ca="1">ROUND(NORMINV(RAND(),C$3,$B$1)+$A13,0)</f>
        <v>5</v>
      </c>
      <c r="D13" s="158">
        <f ca="1">ROUND(NORMINV(RAND(),D$3,$B$1)+$A13,0)</f>
        <v>11</v>
      </c>
      <c r="E13" s="158">
        <f ca="1">ROUND(NORMINV(RAND(),E$3,$B$1)+$A13,0)</f>
        <v>14</v>
      </c>
    </row>
    <row r="14" spans="1:6" ht="26" customHeight="1">
      <c r="A14" s="153"/>
      <c r="B14" s="158"/>
      <c r="C14" s="158"/>
      <c r="D14" s="158"/>
      <c r="E14" s="158"/>
    </row>
    <row r="15" spans="1:6" ht="26" customHeight="1">
      <c r="A15" s="153">
        <f ca="1">NORMINV(RAND(),0,$B$2)</f>
        <v>1.8824437369215756</v>
      </c>
      <c r="B15" s="158">
        <v>5</v>
      </c>
      <c r="C15" s="158">
        <f ca="1">ROUND(NORMINV(RAND(),C$3,$B$1)+$A15,0)</f>
        <v>10</v>
      </c>
      <c r="D15" s="158">
        <f ca="1">ROUND(NORMINV(RAND(),D$3,$B$1)+$A15,0)</f>
        <v>14</v>
      </c>
      <c r="E15" s="158">
        <f ca="1">ROUND(NORMINV(RAND(),E$3,$B$1)+$A15,0)</f>
        <v>18</v>
      </c>
    </row>
    <row r="16" spans="1:6" ht="26" customHeight="1">
      <c r="A16" s="153"/>
      <c r="B16" s="158"/>
      <c r="C16" s="158"/>
      <c r="D16" s="158"/>
      <c r="E16" s="158"/>
    </row>
    <row r="17" spans="1:5" ht="26" customHeight="1">
      <c r="A17" s="153">
        <f ca="1">NORMINV(RAND(),0,$B$2)</f>
        <v>1.7841301573648893</v>
      </c>
      <c r="B17" s="158">
        <v>6</v>
      </c>
      <c r="C17" s="158">
        <f ca="1">ROUND(NORMINV(RAND(),C$3,$B$1)+$A17,0)</f>
        <v>8</v>
      </c>
      <c r="D17" s="158">
        <f ca="1">ROUND(NORMINV(RAND(),D$3,$B$1)+$A17,0)</f>
        <v>15</v>
      </c>
      <c r="E17" s="158">
        <f ca="1">ROUND(NORMINV(RAND(),E$3,$B$1)+$A17,0)</f>
        <v>19</v>
      </c>
    </row>
    <row r="18" spans="1:5" ht="26" customHeight="1">
      <c r="A18" s="153"/>
      <c r="B18" s="158"/>
      <c r="C18" s="158"/>
      <c r="D18" s="158"/>
      <c r="E18" s="158"/>
    </row>
    <row r="19" spans="1:5" ht="26" customHeight="1">
      <c r="A19" s="153">
        <f ca="1">NORMINV(RAND(),0,$B$2)</f>
        <v>-0.4949242159309083</v>
      </c>
      <c r="B19" s="158">
        <v>7</v>
      </c>
      <c r="C19" s="158">
        <f ca="1">ROUND(NORMINV(RAND(),C$3,$B$1)+$A19,0)</f>
        <v>8</v>
      </c>
      <c r="D19" s="158">
        <f ca="1">ROUND(NORMINV(RAND(),D$3,$B$1)+$A19,0)</f>
        <v>11</v>
      </c>
      <c r="E19" s="158">
        <f ca="1">ROUND(NORMINV(RAND(),E$3,$B$1)+$A19,0)</f>
        <v>17</v>
      </c>
    </row>
    <row r="20" spans="1:5" ht="26" customHeight="1">
      <c r="A20" s="153"/>
      <c r="B20" s="158"/>
      <c r="C20" s="158"/>
      <c r="D20" s="158"/>
      <c r="E20" s="158"/>
    </row>
    <row r="21" spans="1:5" ht="26" customHeight="1">
      <c r="A21" s="153">
        <f ca="1">NORMINV(RAND(),0,$B$2)</f>
        <v>9.3342226067666978</v>
      </c>
      <c r="B21" s="158">
        <v>8</v>
      </c>
      <c r="C21" s="158">
        <f ca="1">ROUND(NORMINV(RAND(),C$3,$B$1)+$A21,0)</f>
        <v>19</v>
      </c>
      <c r="D21" s="158">
        <f ca="1">ROUND(NORMINV(RAND(),D$3,$B$1)+$A21,0)</f>
        <v>23</v>
      </c>
      <c r="E21" s="158">
        <f ca="1">ROUND(NORMINV(RAND(),E$3,$B$1)+$A21,0)</f>
        <v>28</v>
      </c>
    </row>
    <row r="22" spans="1:5" ht="26" customHeight="1">
      <c r="A22" s="153"/>
      <c r="B22" s="158"/>
      <c r="C22" s="158"/>
      <c r="D22" s="158"/>
      <c r="E22" s="158"/>
    </row>
    <row r="23" spans="1:5" ht="26" customHeight="1">
      <c r="A23" s="153">
        <f ca="1">NORMINV(RAND(),0,$B$2)</f>
        <v>-2.7874808037087631</v>
      </c>
      <c r="B23" s="158">
        <v>9</v>
      </c>
      <c r="C23" s="158">
        <f ca="1">ROUND(NORMINV(RAND(),C$3,$B$1)+$A23,0)</f>
        <v>6</v>
      </c>
      <c r="D23" s="158">
        <f ca="1">ROUND(NORMINV(RAND(),D$3,$B$1)+$A23,0)</f>
        <v>11</v>
      </c>
      <c r="E23" s="158">
        <f ca="1">ROUND(NORMINV(RAND(),E$3,$B$1)+$A23,0)</f>
        <v>15</v>
      </c>
    </row>
    <row r="24" spans="1:5" ht="26" customHeight="1">
      <c r="A24" s="153"/>
      <c r="B24" s="158"/>
      <c r="C24" s="158"/>
      <c r="D24" s="158"/>
      <c r="E24" s="158"/>
    </row>
    <row r="25" spans="1:5" ht="26" customHeight="1">
      <c r="A25" s="167">
        <f ca="1">NORMINV(RAND(),0,$B$2)</f>
        <v>3.4380919844805855</v>
      </c>
      <c r="B25" s="213">
        <v>10</v>
      </c>
      <c r="C25" s="213">
        <f ca="1">ROUND(NORMINV(RAND(),C$3,$B$1)+$A25,0)</f>
        <v>10</v>
      </c>
      <c r="D25" s="213">
        <f ca="1">ROUND(NORMINV(RAND(),D$3,$B$1)+$A25,0)</f>
        <v>15</v>
      </c>
      <c r="E25" s="213">
        <f ca="1">ROUND(NORMINV(RAND(),E$3,$B$1)+$A25,0)</f>
        <v>22</v>
      </c>
    </row>
    <row r="26" spans="1:5" ht="26" customHeight="1" thickBot="1">
      <c r="A26" s="560"/>
      <c r="B26" s="215"/>
      <c r="C26" s="215"/>
      <c r="D26" s="215"/>
      <c r="E26" s="215"/>
    </row>
    <row r="27" spans="1:5" ht="26" customHeight="1">
      <c r="A27" s="167">
        <f ca="1">AVERAGE(A7:A25)</f>
        <v>0.55509966346403417</v>
      </c>
      <c r="B27" s="557" t="s">
        <v>680</v>
      </c>
      <c r="C27" s="162">
        <f ca="1">SUM(C7:C25)</f>
        <v>85</v>
      </c>
      <c r="D27" s="162">
        <f ca="1">AVERAGE(D7:D25)</f>
        <v>13.8</v>
      </c>
      <c r="E27" s="162">
        <f ca="1">AVERAGE(E7:E25)</f>
        <v>18.3</v>
      </c>
    </row>
    <row r="28" spans="1:5" ht="26" customHeight="1">
      <c r="A28" s="167"/>
      <c r="B28" s="557" t="s">
        <v>679</v>
      </c>
      <c r="C28" s="162">
        <f ca="1">AVERAGE(C7:C25)</f>
        <v>8.5</v>
      </c>
      <c r="D28" s="162">
        <f t="shared" ref="D28:E28" ca="1" si="0">AVERAGE(D7:D25)</f>
        <v>13.8</v>
      </c>
      <c r="E28" s="162">
        <f t="shared" ca="1" si="0"/>
        <v>18.3</v>
      </c>
    </row>
    <row r="39" spans="4:4" ht="26" customHeight="1">
      <c r="D39" s="9"/>
    </row>
    <row r="45" spans="4:4" ht="26" customHeight="1">
      <c r="D45" s="9"/>
    </row>
  </sheetData>
  <mergeCells count="2">
    <mergeCell ref="C2:E2"/>
    <mergeCell ref="C5:E5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1"/>
  <sheetViews>
    <sheetView workbookViewId="0">
      <selection activeCell="F24" sqref="F24"/>
    </sheetView>
  </sheetViews>
  <sheetFormatPr baseColWidth="10" defaultRowHeight="19"/>
  <cols>
    <col min="1" max="1" width="3.3984375" style="64" customWidth="1"/>
    <col min="2" max="2" width="7.09765625" style="64" customWidth="1"/>
    <col min="3" max="8" width="5.796875" style="64" customWidth="1"/>
    <col min="9" max="9" width="5.8984375" style="64" customWidth="1"/>
    <col min="10" max="10" width="6.296875" style="64" customWidth="1"/>
    <col min="11" max="11" width="7.3984375" style="64" customWidth="1"/>
    <col min="12" max="17" width="7" style="64" customWidth="1"/>
    <col min="18" max="18" width="3.09765625" style="64" customWidth="1"/>
    <col min="19" max="24" width="7" style="64" customWidth="1"/>
    <col min="25" max="16384" width="10.69921875" style="64"/>
  </cols>
  <sheetData>
    <row r="1" spans="1:24">
      <c r="A1"/>
      <c r="B1" s="102"/>
      <c r="C1" s="864" t="s">
        <v>666</v>
      </c>
      <c r="D1" s="864"/>
      <c r="E1" s="864"/>
      <c r="F1" s="864"/>
      <c r="G1" s="864"/>
      <c r="H1" s="864"/>
      <c r="I1" s="86"/>
      <c r="J1"/>
      <c r="K1" s="102"/>
    </row>
    <row r="2" spans="1:24" ht="20" thickBot="1">
      <c r="A2"/>
      <c r="B2" s="103"/>
      <c r="C2" s="870" t="s">
        <v>667</v>
      </c>
      <c r="D2" s="871"/>
      <c r="E2" s="870" t="s">
        <v>559</v>
      </c>
      <c r="F2" s="871"/>
      <c r="G2" s="870" t="s">
        <v>238</v>
      </c>
      <c r="H2" s="871"/>
      <c r="I2" s="104"/>
      <c r="J2" s="105"/>
      <c r="K2" s="106"/>
    </row>
    <row r="3" spans="1:24">
      <c r="A3" s="869" t="s">
        <v>230</v>
      </c>
      <c r="B3" s="865" t="s">
        <v>239</v>
      </c>
      <c r="C3" s="47" t="s">
        <v>674</v>
      </c>
      <c r="D3" s="107">
        <v>51</v>
      </c>
      <c r="E3" s="47" t="s">
        <v>675</v>
      </c>
      <c r="F3" s="107">
        <v>47</v>
      </c>
      <c r="G3" s="47" t="s">
        <v>516</v>
      </c>
      <c r="H3" s="107">
        <v>62</v>
      </c>
      <c r="I3" s="86"/>
      <c r="J3"/>
      <c r="K3" s="102"/>
    </row>
    <row r="4" spans="1:24" ht="27" customHeight="1">
      <c r="A4" s="869"/>
      <c r="B4" s="866"/>
      <c r="C4" s="47" t="s">
        <v>517</v>
      </c>
      <c r="D4" s="107">
        <v>56</v>
      </c>
      <c r="E4" s="47" t="s">
        <v>296</v>
      </c>
      <c r="F4" s="107">
        <v>50</v>
      </c>
      <c r="G4" s="47" t="s">
        <v>203</v>
      </c>
      <c r="H4" s="107">
        <v>62</v>
      </c>
      <c r="I4" s="86"/>
      <c r="J4"/>
      <c r="K4" s="102"/>
    </row>
    <row r="5" spans="1:24" ht="29" customHeight="1">
      <c r="A5" s="869"/>
      <c r="B5" s="866"/>
      <c r="C5" s="47" t="s">
        <v>204</v>
      </c>
      <c r="D5" s="107">
        <v>52</v>
      </c>
      <c r="E5" s="47" t="s">
        <v>355</v>
      </c>
      <c r="F5" s="107">
        <v>53</v>
      </c>
      <c r="G5" s="47" t="s">
        <v>49</v>
      </c>
      <c r="H5" s="107">
        <v>59</v>
      </c>
      <c r="I5" s="86"/>
      <c r="J5"/>
      <c r="K5" s="102"/>
    </row>
    <row r="6" spans="1:24" ht="24" customHeight="1">
      <c r="A6" s="869"/>
      <c r="B6" s="866"/>
      <c r="C6" s="45" t="s">
        <v>205</v>
      </c>
      <c r="D6" s="108">
        <f>SUM(D3:D5)</f>
        <v>159</v>
      </c>
      <c r="E6" s="45" t="s">
        <v>608</v>
      </c>
      <c r="F6" s="108">
        <f>SUM(F3:F5)</f>
        <v>150</v>
      </c>
      <c r="G6" s="45" t="s">
        <v>609</v>
      </c>
      <c r="H6" s="108">
        <f>SUM(H3:H5)</f>
        <v>183</v>
      </c>
      <c r="I6" s="2" t="s">
        <v>610</v>
      </c>
      <c r="J6" s="109">
        <f>D6+F6+H6</f>
        <v>492</v>
      </c>
      <c r="K6" s="109"/>
      <c r="M6" s="16"/>
      <c r="N6" s="94"/>
      <c r="O6" s="95"/>
      <c r="P6" s="95"/>
      <c r="Q6" s="95"/>
      <c r="T6" s="16"/>
      <c r="U6" s="94"/>
      <c r="V6" s="95"/>
      <c r="W6" s="95"/>
      <c r="X6" s="95"/>
    </row>
    <row r="7" spans="1:24" ht="24" customHeight="1" thickBot="1">
      <c r="A7" s="869"/>
      <c r="B7" s="867"/>
      <c r="C7" s="46" t="s">
        <v>356</v>
      </c>
      <c r="D7" s="116">
        <f>D6/3</f>
        <v>53</v>
      </c>
      <c r="E7" s="117" t="s">
        <v>357</v>
      </c>
      <c r="F7" s="116">
        <f>F6/3</f>
        <v>50</v>
      </c>
      <c r="G7" s="117" t="s">
        <v>208</v>
      </c>
      <c r="H7" s="116">
        <f>H6/3</f>
        <v>61</v>
      </c>
      <c r="I7" s="22" t="s">
        <v>363</v>
      </c>
      <c r="J7" s="110">
        <f>J6/9</f>
        <v>54.666666666666664</v>
      </c>
      <c r="K7" s="86"/>
      <c r="M7" s="16"/>
      <c r="N7" s="94"/>
      <c r="O7" s="95"/>
      <c r="P7" s="95"/>
      <c r="Q7" s="95"/>
      <c r="T7" s="16"/>
      <c r="U7" s="94"/>
      <c r="V7" s="95"/>
      <c r="W7" s="95"/>
      <c r="X7" s="95"/>
    </row>
    <row r="8" spans="1:24" ht="24" customHeight="1">
      <c r="A8" s="869"/>
      <c r="B8" s="868" t="s">
        <v>240</v>
      </c>
      <c r="C8" s="47" t="s">
        <v>364</v>
      </c>
      <c r="D8" s="107">
        <v>58</v>
      </c>
      <c r="E8" s="47" t="s">
        <v>530</v>
      </c>
      <c r="F8" s="107">
        <v>60</v>
      </c>
      <c r="G8" s="47" t="s">
        <v>531</v>
      </c>
      <c r="H8" s="107">
        <v>63</v>
      </c>
      <c r="I8" s="86"/>
      <c r="J8"/>
      <c r="K8" s="2"/>
    </row>
    <row r="9" spans="1:24" ht="24" customHeight="1">
      <c r="A9" s="869"/>
      <c r="B9" s="866"/>
      <c r="C9" s="47" t="s">
        <v>359</v>
      </c>
      <c r="D9" s="107">
        <v>60</v>
      </c>
      <c r="E9" s="47" t="s">
        <v>360</v>
      </c>
      <c r="F9" s="107">
        <v>60</v>
      </c>
      <c r="G9" s="47" t="s">
        <v>361</v>
      </c>
      <c r="H9" s="107">
        <v>65</v>
      </c>
      <c r="I9" s="111"/>
      <c r="J9"/>
      <c r="K9" s="112"/>
    </row>
    <row r="10" spans="1:24" ht="24" customHeight="1">
      <c r="A10" s="869"/>
      <c r="B10" s="866"/>
      <c r="C10" s="47" t="s">
        <v>362</v>
      </c>
      <c r="D10" s="107">
        <v>62</v>
      </c>
      <c r="E10" s="47" t="s">
        <v>526</v>
      </c>
      <c r="F10" s="107">
        <v>57</v>
      </c>
      <c r="G10" s="47" t="s">
        <v>527</v>
      </c>
      <c r="H10" s="107">
        <v>67</v>
      </c>
      <c r="I10"/>
      <c r="J10"/>
      <c r="K10" s="2"/>
    </row>
    <row r="11" spans="1:24" ht="24" customHeight="1">
      <c r="A11" s="869"/>
      <c r="B11" s="866"/>
      <c r="C11" s="45" t="s">
        <v>535</v>
      </c>
      <c r="D11" s="108">
        <f>SUM(D8:D10)</f>
        <v>180</v>
      </c>
      <c r="E11" s="45" t="s">
        <v>365</v>
      </c>
      <c r="F11" s="108">
        <f>SUM(F8:F10)</f>
        <v>177</v>
      </c>
      <c r="G11" s="45" t="s">
        <v>366</v>
      </c>
      <c r="H11" s="108">
        <f>SUM(H8:H10)</f>
        <v>195</v>
      </c>
      <c r="I11" s="2" t="s">
        <v>371</v>
      </c>
      <c r="J11" s="109">
        <f t="shared" ref="J11" si="0">D11+F11+H11</f>
        <v>552</v>
      </c>
      <c r="K11" s="109"/>
      <c r="M11" s="16"/>
      <c r="N11" s="94"/>
      <c r="O11" s="95"/>
      <c r="P11" s="95"/>
      <c r="Q11" s="95"/>
      <c r="T11" s="16"/>
      <c r="U11" s="94"/>
      <c r="V11" s="95"/>
      <c r="W11" s="95"/>
      <c r="X11" s="95"/>
    </row>
    <row r="12" spans="1:24" ht="24" customHeight="1" thickBot="1">
      <c r="A12" s="869"/>
      <c r="B12" s="867"/>
      <c r="C12" s="46" t="s">
        <v>549</v>
      </c>
      <c r="D12" s="116">
        <f>D11/3</f>
        <v>60</v>
      </c>
      <c r="E12" s="117" t="s">
        <v>550</v>
      </c>
      <c r="F12" s="116">
        <f>F11/3</f>
        <v>59</v>
      </c>
      <c r="G12" s="117" t="s">
        <v>384</v>
      </c>
      <c r="H12" s="116">
        <f>H11/3</f>
        <v>65</v>
      </c>
      <c r="I12" s="22" t="s">
        <v>385</v>
      </c>
      <c r="J12" s="110">
        <f t="shared" ref="J12" si="1">J11/9</f>
        <v>61.333333333333336</v>
      </c>
      <c r="K12" s="28"/>
      <c r="M12" s="16"/>
      <c r="N12" s="94"/>
      <c r="O12" s="95"/>
      <c r="P12" s="95"/>
      <c r="Q12" s="95"/>
      <c r="T12" s="16"/>
      <c r="U12" s="94"/>
      <c r="V12" s="95"/>
      <c r="W12" s="95"/>
      <c r="X12" s="95"/>
    </row>
    <row r="13" spans="1:24" ht="24" customHeight="1">
      <c r="A13"/>
      <c r="B13" s="113"/>
      <c r="C13" s="45" t="s">
        <v>386</v>
      </c>
      <c r="D13" s="108">
        <f>D6+D11</f>
        <v>339</v>
      </c>
      <c r="E13" s="45" t="s">
        <v>411</v>
      </c>
      <c r="F13" s="108">
        <f>F6+F11</f>
        <v>327</v>
      </c>
      <c r="G13" s="45" t="s">
        <v>596</v>
      </c>
      <c r="H13" s="108">
        <f>H6+H11</f>
        <v>378</v>
      </c>
      <c r="I13" s="2" t="s">
        <v>597</v>
      </c>
      <c r="J13" s="109">
        <f>J6+J11</f>
        <v>1044</v>
      </c>
      <c r="K13" s="109"/>
    </row>
    <row r="14" spans="1:24" ht="24" customHeight="1">
      <c r="A14"/>
      <c r="B14" s="113"/>
      <c r="C14" s="45" t="s">
        <v>598</v>
      </c>
      <c r="D14" s="114">
        <f>D13/6</f>
        <v>56.5</v>
      </c>
      <c r="E14" s="45" t="s">
        <v>599</v>
      </c>
      <c r="F14" s="114">
        <f>F13/6</f>
        <v>54.5</v>
      </c>
      <c r="G14" s="45" t="s">
        <v>600</v>
      </c>
      <c r="H14" s="114">
        <f>H13/6</f>
        <v>63</v>
      </c>
      <c r="I14" s="2" t="s">
        <v>602</v>
      </c>
      <c r="J14" s="109">
        <v>18</v>
      </c>
      <c r="K14" s="2"/>
    </row>
    <row r="15" spans="1:24" ht="24" customHeight="1">
      <c r="A15"/>
      <c r="B15" s="2"/>
      <c r="C15" s="2"/>
      <c r="D15" s="115"/>
      <c r="E15" s="2"/>
      <c r="F15" s="115"/>
      <c r="G15" s="2"/>
      <c r="H15" s="115"/>
      <c r="I15" s="2" t="s">
        <v>601</v>
      </c>
      <c r="J15" s="118">
        <f>J13/18</f>
        <v>58</v>
      </c>
      <c r="K15" s="2"/>
    </row>
    <row r="16" spans="1:24" ht="24" customHeight="1">
      <c r="A16" s="100"/>
      <c r="B16" s="101"/>
      <c r="C16" s="44"/>
      <c r="D16" s="96"/>
      <c r="E16" s="44"/>
      <c r="F16" s="96"/>
      <c r="G16" s="44"/>
      <c r="H16" s="96"/>
    </row>
    <row r="20" spans="1:8" ht="19" customHeight="1"/>
    <row r="21" spans="1:8" ht="19" customHeight="1">
      <c r="A21" s="97"/>
      <c r="B21" s="98"/>
      <c r="C21" s="97"/>
      <c r="D21" s="98"/>
      <c r="E21" s="97"/>
      <c r="F21" s="98"/>
      <c r="G21" s="97"/>
    </row>
    <row r="22" spans="1:8" ht="19" customHeight="1">
      <c r="A22" s="97"/>
      <c r="B22" s="98"/>
      <c r="C22" s="97"/>
      <c r="D22" s="98"/>
      <c r="E22" s="97"/>
      <c r="F22" s="98"/>
      <c r="G22" s="97"/>
    </row>
    <row r="23" spans="1:8" ht="19" customHeight="1"/>
    <row r="24" spans="1:8" ht="19" customHeight="1">
      <c r="A24" s="99"/>
      <c r="C24" s="92"/>
      <c r="D24" s="91"/>
      <c r="E24" s="92"/>
    </row>
    <row r="25" spans="1:8">
      <c r="A25" s="92"/>
      <c r="C25" s="92"/>
      <c r="G25" s="93"/>
      <c r="H25" s="93"/>
    </row>
    <row r="26" spans="1:8">
      <c r="A26" s="87"/>
      <c r="C26" s="91"/>
      <c r="D26" s="24"/>
      <c r="E26" s="91"/>
      <c r="F26" s="91"/>
      <c r="G26" s="93"/>
      <c r="H26" s="93"/>
    </row>
    <row r="27" spans="1:8">
      <c r="A27" s="92"/>
      <c r="C27" s="91"/>
      <c r="D27" s="24"/>
      <c r="E27" s="91"/>
      <c r="F27" s="91"/>
      <c r="G27" s="91"/>
      <c r="H27" s="91"/>
    </row>
    <row r="28" spans="1:8">
      <c r="A28" s="99"/>
      <c r="C28" s="92"/>
      <c r="D28" s="87"/>
      <c r="E28" s="92"/>
      <c r="F28" s="92"/>
      <c r="G28" s="92"/>
      <c r="H28" s="92"/>
    </row>
    <row r="29" spans="1:8">
      <c r="A29" s="99"/>
    </row>
    <row r="30" spans="1:8">
      <c r="A30" s="99"/>
    </row>
    <row r="31" spans="1:8">
      <c r="A31" s="99"/>
    </row>
  </sheetData>
  <sheetCalcPr fullCalcOnLoad="1"/>
  <mergeCells count="7">
    <mergeCell ref="C1:H1"/>
    <mergeCell ref="B3:B7"/>
    <mergeCell ref="B8:B12"/>
    <mergeCell ref="A3:A12"/>
    <mergeCell ref="C2:D2"/>
    <mergeCell ref="E2:F2"/>
    <mergeCell ref="G2:H2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06"/>
  <sheetViews>
    <sheetView zoomScale="125" workbookViewId="0">
      <selection activeCell="F51" sqref="F51"/>
    </sheetView>
  </sheetViews>
  <sheetFormatPr baseColWidth="10" defaultRowHeight="13"/>
  <cols>
    <col min="1" max="1" width="6" style="658" customWidth="1"/>
    <col min="2" max="4" width="7.796875" style="645" customWidth="1"/>
    <col min="5" max="5" width="2.296875" style="645" customWidth="1"/>
    <col min="6" max="6" width="10.69921875" style="645" customWidth="1"/>
    <col min="7" max="7" width="9.296875" style="645" customWidth="1"/>
    <col min="8" max="9" width="11.09765625" style="645" customWidth="1"/>
    <col min="10" max="13" width="8.09765625" style="645" customWidth="1"/>
    <col min="14" max="16384" width="10.69921875" style="645"/>
  </cols>
  <sheetData>
    <row r="1" spans="1:9">
      <c r="A1" s="641" t="s">
        <v>499</v>
      </c>
      <c r="B1" s="642"/>
      <c r="C1" s="643"/>
      <c r="D1" s="643"/>
      <c r="E1" s="643"/>
      <c r="F1" s="643"/>
      <c r="G1" s="643"/>
      <c r="H1" s="643"/>
      <c r="I1" s="644"/>
    </row>
    <row r="2" spans="1:9" ht="19" customHeight="1">
      <c r="A2" s="646"/>
      <c r="B2" s="647" t="s">
        <v>662</v>
      </c>
      <c r="C2" s="648"/>
      <c r="D2" s="649"/>
      <c r="E2" s="649"/>
      <c r="F2" s="649"/>
      <c r="G2" s="649"/>
      <c r="H2" s="649"/>
      <c r="I2" s="650"/>
    </row>
    <row r="3" spans="1:9" ht="21" customHeight="1">
      <c r="A3" s="646"/>
      <c r="B3" s="752" t="s">
        <v>50</v>
      </c>
      <c r="C3" s="648"/>
      <c r="D3" s="649"/>
      <c r="E3" s="649"/>
      <c r="F3" s="649"/>
      <c r="G3" s="649"/>
      <c r="H3" s="649"/>
      <c r="I3" s="650"/>
    </row>
    <row r="4" spans="1:9" ht="21" customHeight="1">
      <c r="A4" s="646"/>
      <c r="B4" s="648" t="s">
        <v>709</v>
      </c>
      <c r="C4" s="648"/>
      <c r="D4" s="649"/>
      <c r="E4" s="649"/>
      <c r="F4" s="649"/>
      <c r="G4" s="649"/>
      <c r="H4" s="649"/>
      <c r="I4" s="650"/>
    </row>
    <row r="5" spans="1:9" ht="12" customHeight="1">
      <c r="A5" s="646"/>
      <c r="B5" s="651"/>
      <c r="C5" s="651"/>
      <c r="D5" s="652"/>
      <c r="E5" s="652"/>
      <c r="F5" s="652"/>
      <c r="G5" s="652"/>
      <c r="H5" s="652"/>
      <c r="I5" s="653"/>
    </row>
    <row r="6" spans="1:9" s="762" customFormat="1" ht="21" customHeight="1">
      <c r="A6" s="757"/>
      <c r="B6" s="758" t="s">
        <v>142</v>
      </c>
      <c r="C6" s="759"/>
      <c r="D6" s="760"/>
      <c r="E6" s="760"/>
      <c r="F6" s="760"/>
      <c r="G6" s="760"/>
      <c r="H6" s="760"/>
      <c r="I6" s="761"/>
    </row>
    <row r="7" spans="1:9" ht="21" customHeight="1">
      <c r="A7" s="646"/>
      <c r="B7" s="648" t="s">
        <v>143</v>
      </c>
      <c r="C7" s="648"/>
      <c r="D7" s="649"/>
      <c r="E7" s="649"/>
      <c r="F7" s="649"/>
      <c r="G7" s="649"/>
      <c r="H7" s="649"/>
      <c r="I7" s="650"/>
    </row>
    <row r="8" spans="1:9" s="762" customFormat="1" ht="21" customHeight="1">
      <c r="A8" s="757"/>
      <c r="B8" s="759" t="s">
        <v>218</v>
      </c>
      <c r="C8" s="759"/>
      <c r="D8" s="760"/>
      <c r="E8" s="760"/>
      <c r="F8" s="760"/>
      <c r="G8" s="760"/>
      <c r="H8" s="760"/>
      <c r="I8" s="761"/>
    </row>
    <row r="9" spans="1:9" ht="21" customHeight="1" thickBot="1">
      <c r="A9" s="654"/>
      <c r="B9" s="655" t="s">
        <v>219</v>
      </c>
      <c r="C9" s="655"/>
      <c r="D9" s="656"/>
      <c r="E9" s="656"/>
      <c r="F9" s="656"/>
      <c r="G9" s="656"/>
      <c r="H9" s="656"/>
      <c r="I9" s="657"/>
    </row>
    <row r="11" spans="1:9" ht="15">
      <c r="A11" s="659" t="s">
        <v>710</v>
      </c>
      <c r="B11" s="751">
        <v>2</v>
      </c>
      <c r="C11" s="659" t="s">
        <v>652</v>
      </c>
      <c r="D11" s="741">
        <v>230</v>
      </c>
      <c r="F11" s="673"/>
      <c r="G11" s="674" t="s">
        <v>128</v>
      </c>
      <c r="H11" s="675">
        <f ca="1">COUNT(B16:B35)</f>
        <v>20</v>
      </c>
      <c r="I11" s="673"/>
    </row>
    <row r="12" spans="1:9" ht="15">
      <c r="A12" s="659" t="s">
        <v>653</v>
      </c>
      <c r="B12" s="751">
        <v>0.75</v>
      </c>
      <c r="C12" s="659" t="s">
        <v>654</v>
      </c>
      <c r="D12" s="740">
        <v>20</v>
      </c>
      <c r="F12" s="676" t="s">
        <v>656</v>
      </c>
      <c r="G12" s="750">
        <f ca="1">SUM(A16:A35)</f>
        <v>39.499999999999993</v>
      </c>
      <c r="H12" s="676" t="s">
        <v>657</v>
      </c>
      <c r="I12" s="750">
        <f ca="1">SUM(B16:B35)</f>
        <v>4582.0250708204885</v>
      </c>
    </row>
    <row r="13" spans="1:9" ht="15">
      <c r="A13" s="662"/>
      <c r="B13" s="663" t="s">
        <v>655</v>
      </c>
      <c r="C13" s="664">
        <v>0.9</v>
      </c>
      <c r="D13" s="660"/>
      <c r="F13" s="674" t="s">
        <v>658</v>
      </c>
      <c r="G13" s="750">
        <f ca="1">G12^2</f>
        <v>1560.2499999999995</v>
      </c>
      <c r="H13" s="674" t="s">
        <v>659</v>
      </c>
      <c r="I13" s="750">
        <f ca="1">I12^2</f>
        <v>20994953.749627504</v>
      </c>
    </row>
    <row r="14" spans="1:9" ht="15">
      <c r="A14" s="665"/>
      <c r="B14" s="665"/>
      <c r="C14" s="665"/>
      <c r="D14" s="665"/>
      <c r="F14" s="674" t="s">
        <v>660</v>
      </c>
      <c r="G14" s="750">
        <f ca="1">$H$11*SUMSQ(A16:A35)</f>
        <v>1832.2000000000003</v>
      </c>
      <c r="H14" s="674" t="s">
        <v>661</v>
      </c>
      <c r="I14" s="750">
        <f ca="1">$H$11*SUMSQ(B16:B35)</f>
        <v>21129334.560556285</v>
      </c>
    </row>
    <row r="15" spans="1:9">
      <c r="A15" s="667" t="s">
        <v>43</v>
      </c>
      <c r="B15" s="668" t="s">
        <v>133</v>
      </c>
      <c r="C15" s="667" t="s">
        <v>134</v>
      </c>
      <c r="D15" s="668" t="s">
        <v>135</v>
      </c>
      <c r="F15" s="674"/>
      <c r="G15" s="674" t="s">
        <v>592</v>
      </c>
      <c r="H15" s="749">
        <f ca="1">$H$11*SUMPRODUCT(A16:A35,B16:B35)</f>
        <v>186469.15894072314</v>
      </c>
      <c r="I15" s="681"/>
    </row>
    <row r="16" spans="1:9">
      <c r="A16" s="739">
        <f ca="1">ROUND(NORMINV(RAND(),$B$11,$B$12),1)</f>
        <v>1.8</v>
      </c>
      <c r="B16" s="742">
        <f t="shared" ref="B16:B35" ca="1" si="0">$C$13*($D$12/$B$12)*(A16-$B$11)+$D$11+NORMINV(RAND(),0,$D$12*SQRT(1-$C$13^2))</f>
        <v>214.81657541105383</v>
      </c>
      <c r="C16" s="742">
        <f t="shared" ref="C16:C35" ca="1" si="1">A16*$G$25+$G$26</f>
        <v>225.57540499320345</v>
      </c>
      <c r="D16" s="742">
        <f ca="1">B16-C16</f>
        <v>-10.758829582149616</v>
      </c>
      <c r="F16" s="674"/>
      <c r="G16" s="680"/>
      <c r="H16" s="682"/>
      <c r="I16" s="681"/>
    </row>
    <row r="17" spans="1:9" ht="15">
      <c r="A17" s="739">
        <f t="shared" ref="A17:A35" ca="1" si="2">ROUND(NORMINV(RAND(),$B$11,$B$12),1)</f>
        <v>1.8</v>
      </c>
      <c r="B17" s="742">
        <f t="shared" ca="1" si="0"/>
        <v>230.39984266781937</v>
      </c>
      <c r="C17" s="742">
        <f t="shared" ca="1" si="1"/>
        <v>225.57540499320345</v>
      </c>
      <c r="D17" s="742">
        <f t="shared" ref="D17:D35" ca="1" si="3">B17-C17</f>
        <v>4.8244376746159219</v>
      </c>
      <c r="F17" s="674" t="s">
        <v>593</v>
      </c>
      <c r="G17" s="736">
        <f ca="1">AVERAGE(A16:A35)</f>
        <v>1.9749999999999996</v>
      </c>
      <c r="H17" s="674" t="s">
        <v>594</v>
      </c>
      <c r="I17" s="736">
        <f ca="1">AVERAGE(B16:B35)</f>
        <v>229.10125354102442</v>
      </c>
    </row>
    <row r="18" spans="1:9" ht="15">
      <c r="A18" s="739">
        <f t="shared" ca="1" si="2"/>
        <v>3.1</v>
      </c>
      <c r="B18" s="742">
        <f t="shared" ca="1" si="0"/>
        <v>242.75748766607848</v>
      </c>
      <c r="C18" s="742">
        <f t="shared" ca="1" si="1"/>
        <v>251.76742277701666</v>
      </c>
      <c r="D18" s="742">
        <f t="shared" ca="1" si="3"/>
        <v>-9.0099351109381871</v>
      </c>
      <c r="F18" s="674" t="s">
        <v>595</v>
      </c>
      <c r="G18" s="736">
        <f ca="1">STDEVPA(A16:A35)</f>
        <v>0.8245453292572833</v>
      </c>
      <c r="H18" s="674" t="s">
        <v>711</v>
      </c>
      <c r="I18" s="736">
        <f ca="1">STDEVPA(B16:B35)</f>
        <v>18.328994171038175</v>
      </c>
    </row>
    <row r="19" spans="1:9" ht="15">
      <c r="A19" s="739">
        <f t="shared" ca="1" si="2"/>
        <v>2.7</v>
      </c>
      <c r="B19" s="742">
        <f t="shared" ca="1" si="0"/>
        <v>262.37046542737676</v>
      </c>
      <c r="C19" s="742">
        <f t="shared" ca="1" si="1"/>
        <v>243.70834038199723</v>
      </c>
      <c r="D19" s="742">
        <f t="shared" ca="1" si="3"/>
        <v>18.662125045379526</v>
      </c>
      <c r="F19" s="753" t="s">
        <v>712</v>
      </c>
      <c r="G19" s="754">
        <f ca="1">G18^2</f>
        <v>0.67987500000000167</v>
      </c>
      <c r="H19" s="753" t="s">
        <v>713</v>
      </c>
      <c r="I19" s="754">
        <f ca="1">I18^2</f>
        <v>335.95202732195139</v>
      </c>
    </row>
    <row r="20" spans="1:9" ht="15">
      <c r="A20" s="739">
        <f t="shared" ca="1" si="2"/>
        <v>1.6</v>
      </c>
      <c r="B20" s="742">
        <f t="shared" ca="1" si="0"/>
        <v>222.96108692076606</v>
      </c>
      <c r="C20" s="742">
        <f t="shared" ca="1" si="1"/>
        <v>221.54586379569372</v>
      </c>
      <c r="D20" s="742">
        <f t="shared" ca="1" si="3"/>
        <v>1.4152231250723446</v>
      </c>
      <c r="F20" s="872" t="s">
        <v>51</v>
      </c>
      <c r="G20" s="755" t="s">
        <v>52</v>
      </c>
      <c r="H20" s="756" t="s">
        <v>561</v>
      </c>
      <c r="I20" s="736">
        <f ca="1">VARP(C16:C35)</f>
        <v>275.9816972041782</v>
      </c>
    </row>
    <row r="21" spans="1:9" ht="15">
      <c r="A21" s="739">
        <f t="shared" ca="1" si="2"/>
        <v>1.2</v>
      </c>
      <c r="B21" s="742">
        <f t="shared" ca="1" si="0"/>
        <v>215.5372933809501</v>
      </c>
      <c r="C21" s="742">
        <f t="shared" ca="1" si="1"/>
        <v>213.48678140067426</v>
      </c>
      <c r="D21" s="742">
        <f t="shared" ca="1" si="3"/>
        <v>2.0505119802758429</v>
      </c>
      <c r="F21" s="873"/>
      <c r="G21" s="689" t="s">
        <v>53</v>
      </c>
      <c r="H21" s="756" t="s">
        <v>562</v>
      </c>
      <c r="I21" s="736">
        <f ca="1">VARP(D16:D35)</f>
        <v>59.970330117768036</v>
      </c>
    </row>
    <row r="22" spans="1:9" ht="15">
      <c r="A22" s="739">
        <f t="shared" ca="1" si="2"/>
        <v>2.7</v>
      </c>
      <c r="B22" s="742">
        <f t="shared" ca="1" si="0"/>
        <v>242.05905972940459</v>
      </c>
      <c r="C22" s="742">
        <f t="shared" ca="1" si="1"/>
        <v>243.70834038199723</v>
      </c>
      <c r="D22" s="742">
        <f t="shared" ca="1" si="3"/>
        <v>-1.6492806525926369</v>
      </c>
      <c r="F22" s="873"/>
      <c r="G22" s="689" t="s">
        <v>54</v>
      </c>
      <c r="H22" s="756" t="s">
        <v>523</v>
      </c>
      <c r="I22" s="736">
        <f ca="1">I20+I21</f>
        <v>335.95202732194622</v>
      </c>
    </row>
    <row r="23" spans="1:9">
      <c r="A23" s="739">
        <f t="shared" ca="1" si="2"/>
        <v>2.9</v>
      </c>
      <c r="B23" s="742">
        <f t="shared" ca="1" si="0"/>
        <v>263.51184728906668</v>
      </c>
      <c r="C23" s="742">
        <f t="shared" ca="1" si="1"/>
        <v>247.73788157950693</v>
      </c>
      <c r="D23" s="742">
        <f t="shared" ca="1" si="3"/>
        <v>15.773965709559747</v>
      </c>
      <c r="F23" s="689"/>
      <c r="G23" s="689"/>
      <c r="H23" s="682"/>
      <c r="I23" s="681"/>
    </row>
    <row r="24" spans="1:9" ht="15">
      <c r="A24" s="739">
        <f t="shared" ca="1" si="2"/>
        <v>0.6</v>
      </c>
      <c r="B24" s="742">
        <f t="shared" ca="1" si="0"/>
        <v>196.44755538228245</v>
      </c>
      <c r="C24" s="742">
        <f t="shared" ca="1" si="1"/>
        <v>201.39815780814507</v>
      </c>
      <c r="D24" s="742">
        <f t="shared" ca="1" si="3"/>
        <v>-4.9506024258626269</v>
      </c>
      <c r="F24" s="673"/>
      <c r="G24" s="683" t="s">
        <v>524</v>
      </c>
      <c r="H24" s="683" t="s">
        <v>563</v>
      </c>
      <c r="I24" s="683" t="s">
        <v>564</v>
      </c>
    </row>
    <row r="25" spans="1:9">
      <c r="A25" s="739">
        <f t="shared" ca="1" si="2"/>
        <v>1.8</v>
      </c>
      <c r="B25" s="742">
        <f t="shared" ca="1" si="0"/>
        <v>225.13863496273643</v>
      </c>
      <c r="C25" s="742">
        <f t="shared" ca="1" si="1"/>
        <v>225.57540499320345</v>
      </c>
      <c r="D25" s="742">
        <f t="shared" ca="1" si="3"/>
        <v>-0.43677003046701657</v>
      </c>
      <c r="F25" s="674" t="s">
        <v>565</v>
      </c>
      <c r="G25" s="745">
        <f ca="1">(H15-G12*I12)/(G14-G13)</f>
        <v>20.14770598754864</v>
      </c>
      <c r="H25" s="745">
        <f ca="1">SLOPE(B16:B35,A16:A35)</f>
        <v>20.147705987548573</v>
      </c>
      <c r="I25" s="684"/>
    </row>
    <row r="26" spans="1:9">
      <c r="A26" s="739">
        <f t="shared" ca="1" si="2"/>
        <v>2.7</v>
      </c>
      <c r="B26" s="742">
        <f t="shared" ca="1" si="0"/>
        <v>244.65080221626468</v>
      </c>
      <c r="C26" s="742">
        <f t="shared" ca="1" si="1"/>
        <v>243.70834038199723</v>
      </c>
      <c r="D26" s="742">
        <f t="shared" ca="1" si="3"/>
        <v>0.94246183426744778</v>
      </c>
      <c r="F26" s="674" t="s">
        <v>566</v>
      </c>
      <c r="G26" s="746">
        <f ca="1">(I12-G25*G12)/$H$11</f>
        <v>189.30953421561588</v>
      </c>
      <c r="H26" s="746">
        <f ca="1">INTERCEPT(B16:B35,A16:A35)</f>
        <v>189.309534215616</v>
      </c>
      <c r="I26" s="684"/>
    </row>
    <row r="27" spans="1:9">
      <c r="A27" s="739">
        <f t="shared" ca="1" si="2"/>
        <v>0.2</v>
      </c>
      <c r="B27" s="742">
        <f t="shared" ca="1" si="0"/>
        <v>196.95914146653746</v>
      </c>
      <c r="C27" s="742">
        <f t="shared" ca="1" si="1"/>
        <v>193.33907541312561</v>
      </c>
      <c r="D27" s="742">
        <f t="shared" ca="1" si="3"/>
        <v>3.620066053411847</v>
      </c>
      <c r="F27" s="674" t="s">
        <v>567</v>
      </c>
      <c r="G27" s="737">
        <f ca="1">(H15-G12*I12)/SQRT(((G14-G13)*(I14-I13)))</f>
        <v>0.906361620952017</v>
      </c>
      <c r="H27" s="737">
        <f ca="1">PEARSON(B16:B35,A16:A35)</f>
        <v>0.90636162095198181</v>
      </c>
      <c r="I27" s="684"/>
    </row>
    <row r="28" spans="1:9" ht="15">
      <c r="A28" s="739">
        <f t="shared" ca="1" si="2"/>
        <v>1.5</v>
      </c>
      <c r="B28" s="742">
        <f t="shared" ca="1" si="0"/>
        <v>225.04112683905743</v>
      </c>
      <c r="C28" s="742">
        <f t="shared" ca="1" si="1"/>
        <v>219.53109319693885</v>
      </c>
      <c r="D28" s="742">
        <f t="shared" ca="1" si="3"/>
        <v>5.5100336421185716</v>
      </c>
      <c r="F28" s="674" t="s">
        <v>568</v>
      </c>
      <c r="G28" s="737">
        <f ca="1">G27^2</f>
        <v>0.82149138793476773</v>
      </c>
      <c r="H28" s="737">
        <f ca="1">PEARSON(B16:B35,A16:A35)^2</f>
        <v>0.821491387934704</v>
      </c>
      <c r="I28" s="735">
        <f ca="1">I20/I19</f>
        <v>0.82149138793467646</v>
      </c>
    </row>
    <row r="29" spans="1:9">
      <c r="A29" s="739">
        <f t="shared" ca="1" si="2"/>
        <v>2.7</v>
      </c>
      <c r="B29" s="742">
        <f t="shared" ca="1" si="0"/>
        <v>234.31567637608146</v>
      </c>
      <c r="C29" s="742">
        <f t="shared" ca="1" si="1"/>
        <v>243.70834038199723</v>
      </c>
      <c r="D29" s="742">
        <f t="shared" ca="1" si="3"/>
        <v>-9.3926640059157762</v>
      </c>
      <c r="F29" s="674"/>
      <c r="G29" s="684"/>
      <c r="H29" s="684"/>
      <c r="I29" s="673"/>
    </row>
    <row r="30" spans="1:9">
      <c r="A30" s="739">
        <f t="shared" ca="1" si="2"/>
        <v>2.2000000000000002</v>
      </c>
      <c r="B30" s="742">
        <f t="shared" ca="1" si="0"/>
        <v>237.2954498949797</v>
      </c>
      <c r="C30" s="742">
        <f t="shared" ca="1" si="1"/>
        <v>233.63448738822291</v>
      </c>
      <c r="D30" s="742">
        <f t="shared" ca="1" si="3"/>
        <v>3.660962506756789</v>
      </c>
      <c r="F30" s="674" t="s">
        <v>569</v>
      </c>
      <c r="G30" s="674" t="s">
        <v>570</v>
      </c>
      <c r="H30" s="685">
        <v>0.9</v>
      </c>
      <c r="I30" s="686"/>
    </row>
    <row r="31" spans="1:9">
      <c r="A31" s="739">
        <f t="shared" ca="1" si="2"/>
        <v>3.3</v>
      </c>
      <c r="B31" s="742">
        <f t="shared" ca="1" si="0"/>
        <v>251.99849851153968</v>
      </c>
      <c r="C31" s="742">
        <f t="shared" ca="1" si="1"/>
        <v>255.79696397452639</v>
      </c>
      <c r="D31" s="742">
        <f t="shared" ca="1" si="3"/>
        <v>-3.7984654629867123</v>
      </c>
      <c r="F31" s="688" t="s">
        <v>571</v>
      </c>
      <c r="G31" s="734">
        <f ca="1">0.5*LN((1+G27)/(1-G27))</f>
        <v>1.5067557309439297</v>
      </c>
      <c r="H31" s="680"/>
      <c r="I31" s="689"/>
    </row>
    <row r="32" spans="1:9">
      <c r="A32" s="739">
        <f t="shared" ca="1" si="2"/>
        <v>1.9</v>
      </c>
      <c r="B32" s="742">
        <f t="shared" ca="1" si="0"/>
        <v>222.77253978548788</v>
      </c>
      <c r="C32" s="742">
        <f t="shared" ca="1" si="1"/>
        <v>227.59017559195831</v>
      </c>
      <c r="D32" s="742">
        <f t="shared" ca="1" si="3"/>
        <v>-4.8176358064704345</v>
      </c>
      <c r="F32" s="674" t="s">
        <v>572</v>
      </c>
      <c r="G32" s="734">
        <f ca="1">SQRT(1/(H11-3))</f>
        <v>0.24253562503633297</v>
      </c>
      <c r="H32" s="682"/>
      <c r="I32" s="691"/>
    </row>
    <row r="33" spans="1:9">
      <c r="A33" s="739">
        <f t="shared" ca="1" si="2"/>
        <v>1.8</v>
      </c>
      <c r="B33" s="742">
        <f t="shared" ca="1" si="0"/>
        <v>226.255526094343</v>
      </c>
      <c r="C33" s="742">
        <f t="shared" ca="1" si="1"/>
        <v>225.57540499320345</v>
      </c>
      <c r="D33" s="742">
        <f t="shared" ca="1" si="3"/>
        <v>0.68012110113954805</v>
      </c>
      <c r="F33" s="674" t="s">
        <v>573</v>
      </c>
      <c r="G33" s="734">
        <f>NORMSINV(H30+(1-H30)/2)</f>
        <v>1.6448536269514724</v>
      </c>
      <c r="H33" s="682"/>
      <c r="I33" s="693"/>
    </row>
    <row r="34" spans="1:9">
      <c r="A34" s="739">
        <f t="shared" ca="1" si="2"/>
        <v>2.2000000000000002</v>
      </c>
      <c r="B34" s="742">
        <f t="shared" ca="1" si="0"/>
        <v>220.82182397545591</v>
      </c>
      <c r="C34" s="742">
        <f t="shared" ca="1" si="1"/>
        <v>233.63448738822291</v>
      </c>
      <c r="D34" s="742">
        <f t="shared" ca="1" si="3"/>
        <v>-12.812663412766994</v>
      </c>
      <c r="F34" s="674" t="s">
        <v>574</v>
      </c>
      <c r="G34" s="734">
        <f ca="1">G31+(G32*G33)</f>
        <v>1.9056913334498842</v>
      </c>
      <c r="H34" s="682"/>
      <c r="I34" s="693"/>
    </row>
    <row r="35" spans="1:9">
      <c r="A35" s="739">
        <f t="shared" ca="1" si="2"/>
        <v>0.8</v>
      </c>
      <c r="B35" s="742">
        <f t="shared" ca="1" si="0"/>
        <v>205.91463682320614</v>
      </c>
      <c r="C35" s="742">
        <f t="shared" ca="1" si="1"/>
        <v>205.4276990056548</v>
      </c>
      <c r="D35" s="743">
        <f t="shared" ca="1" si="3"/>
        <v>0.48693781755133614</v>
      </c>
      <c r="F35" s="674" t="s">
        <v>575</v>
      </c>
      <c r="G35" s="734">
        <f ca="1">G31-G32*G33</f>
        <v>1.1078201284379752</v>
      </c>
      <c r="H35" s="675" t="s">
        <v>647</v>
      </c>
      <c r="I35" s="693"/>
    </row>
    <row r="36" spans="1:9">
      <c r="A36" s="670"/>
      <c r="B36" s="672"/>
      <c r="C36" s="670"/>
      <c r="D36" s="744">
        <f ca="1">SUM(D16:D35)</f>
        <v>-1.0800249583553523E-12</v>
      </c>
      <c r="F36" s="674" t="s">
        <v>648</v>
      </c>
      <c r="G36" s="734">
        <f ca="1">(EXP(2*G34)-1)/(EXP(2*G34)+1)</f>
        <v>0.95672205023852852</v>
      </c>
      <c r="H36" s="677">
        <f ca="1">G36-G37</f>
        <v>5.0360429286511521E-2</v>
      </c>
      <c r="I36" s="693"/>
    </row>
    <row r="37" spans="1:9">
      <c r="A37" s="738"/>
      <c r="B37" s="738"/>
      <c r="C37" s="738"/>
      <c r="D37" s="738"/>
      <c r="F37" s="688" t="s">
        <v>649</v>
      </c>
      <c r="G37" s="734">
        <f ca="1">G27</f>
        <v>0.906361620952017</v>
      </c>
      <c r="H37" s="693" t="s">
        <v>650</v>
      </c>
      <c r="I37" s="677" t="str">
        <f ca="1">IF(AND(C13&lt;G36,C13&gt;G38),"Yes", "No")</f>
        <v>Yes</v>
      </c>
    </row>
    <row r="38" spans="1:9">
      <c r="A38" s="738"/>
      <c r="B38" s="738"/>
      <c r="C38" s="738"/>
      <c r="D38" s="738"/>
      <c r="F38" s="688" t="s">
        <v>651</v>
      </c>
      <c r="G38" s="734">
        <f ca="1">(EXP(2*G35)-1)/(EXP(2*G35)+1)</f>
        <v>0.80329049067496039</v>
      </c>
      <c r="H38" s="677">
        <f ca="1">G37-G38</f>
        <v>0.10307113027705661</v>
      </c>
      <c r="I38" s="696"/>
    </row>
    <row r="39" spans="1:9">
      <c r="F39" s="687"/>
    </row>
    <row r="40" spans="1:9">
      <c r="A40" s="658" t="s">
        <v>42</v>
      </c>
      <c r="F40" s="679"/>
      <c r="G40" s="679"/>
    </row>
    <row r="41" spans="1:9">
      <c r="A41" s="747">
        <f ca="1">MIN(A16:A35)</f>
        <v>0.2</v>
      </c>
      <c r="B41" s="748">
        <f ca="1">A41*$G$25+$G$26</f>
        <v>193.33907541312561</v>
      </c>
    </row>
    <row r="42" spans="1:9">
      <c r="A42" s="747">
        <f ca="1">MAX(A16:A35)</f>
        <v>3.3</v>
      </c>
      <c r="B42" s="748">
        <f t="shared" ref="B42" ca="1" si="4">A42*$G$25+$G$26</f>
        <v>255.79696397452639</v>
      </c>
    </row>
    <row r="56" spans="6:9">
      <c r="F56" s="717"/>
      <c r="G56" s="678"/>
      <c r="H56" s="687"/>
    </row>
    <row r="57" spans="6:9">
      <c r="F57" s="695"/>
      <c r="G57" s="678"/>
      <c r="H57" s="690"/>
      <c r="I57" s="661"/>
    </row>
    <row r="58" spans="6:9">
      <c r="F58" s="694"/>
      <c r="G58" s="669"/>
      <c r="H58" s="692"/>
      <c r="I58" s="661"/>
    </row>
    <row r="59" spans="6:9">
      <c r="F59" s="694"/>
      <c r="G59" s="694"/>
      <c r="H59" s="695"/>
      <c r="I59" s="678"/>
    </row>
    <row r="60" spans="6:9">
      <c r="F60" s="694"/>
      <c r="G60" s="694"/>
      <c r="H60" s="695"/>
      <c r="I60" s="678"/>
    </row>
    <row r="61" spans="6:9">
      <c r="F61" s="694"/>
      <c r="G61" s="694"/>
      <c r="H61" s="695"/>
      <c r="I61" s="678"/>
    </row>
    <row r="62" spans="6:9">
      <c r="F62" s="694"/>
      <c r="G62" s="694"/>
      <c r="H62" s="695"/>
      <c r="I62" s="678"/>
    </row>
    <row r="63" spans="6:9">
      <c r="F63" s="669"/>
      <c r="G63" s="694"/>
      <c r="H63" s="690"/>
    </row>
    <row r="64" spans="6:9">
      <c r="F64" s="697"/>
      <c r="G64" s="697"/>
      <c r="H64" s="687"/>
    </row>
    <row r="65" spans="1:11" ht="14">
      <c r="B65" s="701"/>
      <c r="C65" s="702"/>
      <c r="D65" s="692"/>
      <c r="E65" s="687"/>
      <c r="F65" s="695"/>
      <c r="G65" s="687"/>
      <c r="H65" s="695"/>
      <c r="I65" s="703"/>
      <c r="J65" s="703"/>
      <c r="K65" s="703"/>
    </row>
    <row r="66" spans="1:11">
      <c r="A66" s="704"/>
      <c r="B66" s="703"/>
      <c r="C66" s="692"/>
      <c r="D66" s="692"/>
      <c r="E66" s="687"/>
      <c r="F66" s="695"/>
      <c r="G66" s="687"/>
      <c r="H66" s="695"/>
      <c r="I66" s="703"/>
      <c r="J66" s="703"/>
      <c r="K66" s="703"/>
    </row>
    <row r="67" spans="1:11">
      <c r="A67" s="704"/>
      <c r="B67" s="703"/>
      <c r="C67" s="692"/>
      <c r="D67" s="692"/>
      <c r="E67" s="687"/>
      <c r="F67" s="695"/>
      <c r="G67" s="687"/>
      <c r="H67" s="695"/>
      <c r="I67" s="703"/>
      <c r="J67" s="703"/>
      <c r="K67" s="703"/>
    </row>
    <row r="68" spans="1:11">
      <c r="A68" s="704"/>
      <c r="B68" s="703"/>
      <c r="C68" s="692"/>
      <c r="D68" s="692"/>
      <c r="E68" s="687"/>
      <c r="F68" s="695"/>
      <c r="G68" s="695"/>
      <c r="H68" s="695"/>
      <c r="I68" s="703"/>
      <c r="J68" s="703"/>
      <c r="K68" s="703"/>
    </row>
    <row r="69" spans="1:11">
      <c r="A69" s="704"/>
      <c r="B69" s="703"/>
      <c r="C69" s="703"/>
      <c r="D69" s="695"/>
      <c r="E69" s="705"/>
      <c r="F69" s="695"/>
      <c r="G69" s="706"/>
      <c r="H69" s="695"/>
      <c r="I69" s="703"/>
      <c r="J69" s="703"/>
      <c r="K69" s="703"/>
    </row>
    <row r="70" spans="1:11">
      <c r="A70" s="704"/>
      <c r="B70" s="678"/>
      <c r="C70" s="697"/>
      <c r="D70" s="697"/>
      <c r="E70" s="678"/>
      <c r="F70" s="697"/>
      <c r="G70" s="697"/>
      <c r="H70" s="697"/>
      <c r="I70" s="703"/>
      <c r="J70" s="703"/>
      <c r="K70" s="703"/>
    </row>
    <row r="71" spans="1:11">
      <c r="A71" s="704"/>
      <c r="B71" s="703"/>
      <c r="C71" s="695"/>
      <c r="D71" s="703"/>
      <c r="E71" s="692"/>
      <c r="F71" s="692"/>
      <c r="G71" s="692"/>
      <c r="H71" s="692"/>
      <c r="I71" s="692"/>
      <c r="J71" s="703"/>
      <c r="K71" s="703"/>
    </row>
    <row r="72" spans="1:11">
      <c r="A72" s="704"/>
      <c r="B72" s="703"/>
      <c r="C72" s="707"/>
      <c r="D72" s="697"/>
      <c r="E72" s="666"/>
      <c r="F72" s="666"/>
      <c r="G72" s="666"/>
      <c r="H72" s="666"/>
      <c r="I72" s="666"/>
      <c r="J72" s="703"/>
      <c r="K72" s="703"/>
    </row>
    <row r="73" spans="1:11">
      <c r="A73" s="704"/>
      <c r="B73" s="695"/>
      <c r="C73" s="708"/>
      <c r="D73" s="709"/>
      <c r="E73" s="669"/>
      <c r="F73" s="669"/>
      <c r="G73" s="669"/>
      <c r="H73" s="669"/>
      <c r="I73" s="669"/>
      <c r="J73" s="692"/>
      <c r="K73" s="703"/>
    </row>
    <row r="74" spans="1:11">
      <c r="A74" s="704"/>
      <c r="B74" s="710"/>
      <c r="C74" s="694"/>
      <c r="D74" s="711"/>
      <c r="E74" s="666"/>
      <c r="F74" s="666"/>
      <c r="G74" s="666"/>
      <c r="H74" s="666"/>
      <c r="I74" s="666"/>
      <c r="J74" s="669"/>
      <c r="K74" s="703"/>
    </row>
    <row r="75" spans="1:11">
      <c r="A75" s="704"/>
      <c r="B75" s="710"/>
      <c r="C75" s="694"/>
      <c r="D75" s="711"/>
      <c r="E75" s="666"/>
      <c r="F75" s="666"/>
      <c r="G75" s="666"/>
      <c r="H75" s="666"/>
      <c r="I75" s="666"/>
      <c r="J75" s="669"/>
      <c r="K75" s="703"/>
    </row>
    <row r="76" spans="1:11">
      <c r="A76" s="704"/>
      <c r="B76" s="710"/>
      <c r="C76" s="694"/>
      <c r="D76" s="711"/>
      <c r="E76" s="666"/>
      <c r="F76" s="666"/>
      <c r="G76" s="666"/>
      <c r="H76" s="666"/>
      <c r="I76" s="666"/>
      <c r="J76" s="669"/>
      <c r="K76" s="703"/>
    </row>
    <row r="77" spans="1:11">
      <c r="A77" s="704"/>
      <c r="B77" s="710"/>
      <c r="C77" s="694"/>
      <c r="D77" s="711"/>
      <c r="E77" s="666"/>
      <c r="F77" s="666"/>
      <c r="G77" s="666"/>
      <c r="H77" s="666"/>
      <c r="I77" s="666"/>
      <c r="J77" s="669"/>
      <c r="K77" s="703"/>
    </row>
    <row r="78" spans="1:11">
      <c r="A78" s="704"/>
      <c r="B78" s="710"/>
      <c r="C78" s="694"/>
      <c r="D78" s="711"/>
      <c r="E78" s="666"/>
      <c r="F78" s="666"/>
      <c r="G78" s="666"/>
      <c r="H78" s="666"/>
      <c r="I78" s="666"/>
      <c r="J78" s="669"/>
      <c r="K78" s="703"/>
    </row>
    <row r="79" spans="1:11">
      <c r="A79" s="704"/>
      <c r="B79" s="710"/>
      <c r="C79" s="694"/>
      <c r="D79" s="711"/>
      <c r="E79" s="666"/>
      <c r="F79" s="666"/>
      <c r="G79" s="666"/>
      <c r="H79" s="666"/>
      <c r="I79" s="666"/>
      <c r="J79" s="669"/>
      <c r="K79" s="703"/>
    </row>
    <row r="80" spans="1:11">
      <c r="A80" s="704"/>
      <c r="B80" s="710"/>
      <c r="C80" s="694"/>
      <c r="D80" s="711"/>
      <c r="E80" s="666"/>
      <c r="F80" s="666"/>
      <c r="G80" s="666"/>
      <c r="H80" s="666"/>
      <c r="I80" s="666"/>
      <c r="J80" s="669"/>
      <c r="K80" s="703"/>
    </row>
    <row r="81" spans="1:11">
      <c r="A81" s="704"/>
      <c r="B81" s="710"/>
      <c r="C81" s="694"/>
      <c r="D81" s="687"/>
      <c r="E81" s="666"/>
      <c r="F81" s="666"/>
      <c r="G81" s="666"/>
      <c r="H81" s="666"/>
      <c r="I81" s="666"/>
      <c r="J81" s="669"/>
      <c r="K81" s="703"/>
    </row>
    <row r="82" spans="1:11">
      <c r="A82" s="704"/>
      <c r="B82" s="710"/>
      <c r="C82" s="694"/>
      <c r="D82" s="687"/>
      <c r="E82" s="666"/>
      <c r="F82" s="666"/>
      <c r="G82" s="666"/>
      <c r="H82" s="666"/>
      <c r="I82" s="666"/>
      <c r="J82" s="669"/>
      <c r="K82" s="703"/>
    </row>
    <row r="83" spans="1:11">
      <c r="A83" s="704"/>
      <c r="B83" s="710"/>
      <c r="C83" s="694"/>
      <c r="D83" s="703"/>
      <c r="E83" s="666"/>
      <c r="F83" s="666"/>
      <c r="G83" s="666"/>
      <c r="H83" s="666"/>
      <c r="I83" s="666"/>
      <c r="J83" s="669"/>
      <c r="K83" s="703"/>
    </row>
    <row r="84" spans="1:11">
      <c r="A84" s="704"/>
      <c r="B84" s="710"/>
      <c r="C84" s="695"/>
      <c r="D84" s="712"/>
      <c r="E84" s="669"/>
      <c r="F84" s="669"/>
      <c r="G84" s="669"/>
      <c r="H84" s="669"/>
      <c r="I84" s="669"/>
      <c r="J84" s="669"/>
      <c r="K84" s="713"/>
    </row>
    <row r="85" spans="1:11">
      <c r="A85" s="704"/>
      <c r="B85" s="703"/>
      <c r="C85" s="703"/>
      <c r="D85" s="712"/>
      <c r="E85" s="669"/>
      <c r="F85" s="669"/>
      <c r="G85" s="669"/>
      <c r="H85" s="669"/>
      <c r="I85" s="669"/>
      <c r="J85" s="692"/>
      <c r="K85" s="713"/>
    </row>
    <row r="86" spans="1:11" ht="14">
      <c r="A86" s="704"/>
      <c r="B86" s="714"/>
      <c r="C86" s="703"/>
      <c r="D86" s="703"/>
      <c r="E86" s="703"/>
      <c r="F86" s="703"/>
      <c r="G86" s="703"/>
      <c r="H86" s="703"/>
      <c r="I86" s="703"/>
      <c r="J86" s="703"/>
      <c r="K86" s="703"/>
    </row>
    <row r="87" spans="1:11">
      <c r="A87" s="704"/>
      <c r="B87" s="692"/>
      <c r="C87" s="692"/>
      <c r="D87" s="703"/>
      <c r="E87" s="703"/>
      <c r="F87" s="703"/>
      <c r="G87" s="703"/>
      <c r="H87" s="703"/>
      <c r="I87" s="703"/>
      <c r="J87" s="703"/>
      <c r="K87" s="703"/>
    </row>
    <row r="88" spans="1:11">
      <c r="A88" s="704"/>
      <c r="B88" s="695"/>
      <c r="C88" s="703"/>
      <c r="D88" s="703"/>
      <c r="E88" s="703"/>
      <c r="F88" s="703"/>
      <c r="G88" s="703"/>
      <c r="H88" s="703"/>
      <c r="I88" s="703"/>
      <c r="J88" s="703"/>
      <c r="K88" s="703"/>
    </row>
    <row r="89" spans="1:11">
      <c r="A89" s="704"/>
      <c r="B89" s="695"/>
      <c r="C89" s="703"/>
      <c r="D89" s="703"/>
      <c r="E89" s="703"/>
      <c r="F89" s="703"/>
      <c r="G89" s="703"/>
      <c r="H89" s="703"/>
      <c r="I89" s="703"/>
      <c r="J89" s="703"/>
      <c r="K89" s="703"/>
    </row>
    <row r="90" spans="1:11">
      <c r="A90" s="704"/>
      <c r="B90" s="695"/>
      <c r="C90" s="703"/>
      <c r="D90" s="703"/>
      <c r="E90" s="703"/>
      <c r="F90" s="703"/>
      <c r="G90" s="703"/>
      <c r="H90" s="703"/>
      <c r="I90" s="703"/>
      <c r="J90" s="703"/>
      <c r="K90" s="703"/>
    </row>
    <row r="91" spans="1:11">
      <c r="A91" s="704"/>
      <c r="B91" s="692"/>
      <c r="C91" s="692"/>
      <c r="D91" s="703"/>
      <c r="E91" s="703"/>
      <c r="F91" s="703"/>
      <c r="G91" s="703"/>
      <c r="H91" s="703"/>
      <c r="I91" s="703"/>
      <c r="J91" s="703"/>
      <c r="K91" s="703"/>
    </row>
    <row r="92" spans="1:11">
      <c r="A92" s="704"/>
      <c r="B92" s="708"/>
      <c r="C92" s="708"/>
      <c r="D92" s="713"/>
      <c r="E92" s="703"/>
      <c r="F92" s="703"/>
      <c r="G92" s="703"/>
      <c r="H92" s="703"/>
      <c r="I92" s="703"/>
      <c r="J92" s="703"/>
      <c r="K92" s="703"/>
    </row>
    <row r="93" spans="1:11">
      <c r="A93" s="704"/>
      <c r="B93" s="703"/>
      <c r="C93" s="703"/>
      <c r="D93" s="703"/>
      <c r="E93" s="703"/>
      <c r="F93" s="703"/>
      <c r="G93" s="703"/>
      <c r="H93" s="703"/>
      <c r="I93" s="703"/>
      <c r="J93" s="703"/>
      <c r="K93" s="703"/>
    </row>
    <row r="94" spans="1:11" ht="14">
      <c r="A94" s="704"/>
      <c r="B94" s="714"/>
      <c r="C94" s="692"/>
      <c r="D94" s="692"/>
      <c r="E94" s="692"/>
      <c r="F94" s="695"/>
      <c r="G94" s="695"/>
      <c r="H94" s="695"/>
      <c r="I94" s="703"/>
      <c r="J94" s="703"/>
      <c r="K94" s="703"/>
    </row>
    <row r="95" spans="1:11">
      <c r="A95" s="704"/>
      <c r="B95" s="692"/>
      <c r="C95" s="669"/>
      <c r="D95" s="666"/>
      <c r="E95" s="703"/>
      <c r="F95" s="687"/>
      <c r="G95" s="703"/>
      <c r="H95" s="687"/>
      <c r="I95" s="703"/>
      <c r="J95" s="703"/>
      <c r="K95" s="703"/>
    </row>
    <row r="96" spans="1:11">
      <c r="A96" s="704"/>
      <c r="B96" s="695"/>
      <c r="C96" s="695"/>
      <c r="D96" s="710"/>
      <c r="E96" s="703"/>
      <c r="F96" s="715"/>
      <c r="G96" s="715"/>
      <c r="H96" s="679"/>
      <c r="I96" s="703"/>
      <c r="J96" s="703"/>
      <c r="K96" s="703"/>
    </row>
    <row r="97" spans="1:11">
      <c r="A97" s="704"/>
      <c r="B97" s="695"/>
      <c r="C97" s="695"/>
      <c r="D97" s="710"/>
      <c r="E97" s="703"/>
      <c r="F97" s="703"/>
      <c r="G97" s="703"/>
      <c r="H97" s="703"/>
      <c r="I97" s="703"/>
      <c r="J97" s="703"/>
      <c r="K97" s="703"/>
    </row>
    <row r="98" spans="1:11">
      <c r="A98" s="704"/>
      <c r="B98" s="695"/>
      <c r="C98" s="695"/>
      <c r="D98" s="710"/>
      <c r="E98" s="703"/>
      <c r="F98" s="703"/>
      <c r="G98" s="703"/>
      <c r="H98" s="703"/>
      <c r="I98" s="703"/>
      <c r="J98" s="703"/>
      <c r="K98" s="703"/>
    </row>
    <row r="99" spans="1:11">
      <c r="A99" s="704"/>
      <c r="B99" s="703"/>
      <c r="C99" s="703"/>
      <c r="D99" s="703"/>
      <c r="E99" s="703"/>
      <c r="F99" s="703"/>
      <c r="G99" s="703"/>
      <c r="H99" s="703"/>
      <c r="I99" s="703"/>
      <c r="J99" s="703"/>
      <c r="K99" s="703"/>
    </row>
    <row r="100" spans="1:11">
      <c r="A100" s="704"/>
      <c r="B100" s="708"/>
      <c r="C100" s="695"/>
      <c r="D100" s="710"/>
      <c r="E100" s="703"/>
      <c r="F100" s="703"/>
      <c r="G100" s="703"/>
      <c r="H100" s="703"/>
      <c r="I100" s="703"/>
      <c r="J100" s="703"/>
      <c r="K100" s="703"/>
    </row>
    <row r="101" spans="1:11">
      <c r="A101" s="704"/>
      <c r="B101" s="716"/>
      <c r="C101" s="692"/>
      <c r="D101" s="716"/>
      <c r="E101" s="692"/>
      <c r="F101" s="703"/>
      <c r="G101" s="703"/>
      <c r="H101" s="703"/>
      <c r="I101" s="703"/>
      <c r="J101" s="703"/>
      <c r="K101" s="703"/>
    </row>
    <row r="102" spans="1:11">
      <c r="A102" s="704"/>
      <c r="B102" s="678"/>
      <c r="C102" s="708"/>
      <c r="D102" s="678"/>
      <c r="E102" s="708"/>
      <c r="F102" s="703"/>
      <c r="G102" s="703"/>
      <c r="H102" s="703"/>
      <c r="I102" s="703"/>
      <c r="J102" s="703"/>
      <c r="K102" s="703"/>
    </row>
    <row r="103" spans="1:11">
      <c r="A103" s="704"/>
      <c r="B103" s="678"/>
      <c r="C103" s="708"/>
      <c r="D103" s="678"/>
      <c r="E103" s="708"/>
      <c r="F103" s="703"/>
      <c r="G103" s="703"/>
      <c r="H103" s="703"/>
      <c r="I103" s="703"/>
      <c r="J103" s="703"/>
      <c r="K103" s="703"/>
    </row>
    <row r="104" spans="1:11">
      <c r="A104" s="704"/>
      <c r="B104" s="678"/>
      <c r="C104" s="708"/>
      <c r="D104" s="678"/>
      <c r="E104" s="708"/>
      <c r="F104" s="703"/>
      <c r="G104" s="703"/>
      <c r="H104" s="703"/>
      <c r="I104" s="703"/>
      <c r="J104" s="703"/>
      <c r="K104" s="703"/>
    </row>
    <row r="105" spans="1:11">
      <c r="A105" s="704"/>
      <c r="B105" s="678"/>
      <c r="C105" s="708"/>
      <c r="D105" s="678"/>
      <c r="E105" s="708"/>
      <c r="F105" s="717"/>
      <c r="G105" s="717"/>
      <c r="H105" s="717"/>
      <c r="I105" s="695"/>
      <c r="J105" s="687"/>
      <c r="K105" s="703"/>
    </row>
    <row r="106" spans="1:11">
      <c r="A106" s="704"/>
      <c r="B106" s="687"/>
      <c r="C106" s="687"/>
      <c r="D106" s="695"/>
      <c r="E106" s="695"/>
      <c r="F106" s="695"/>
      <c r="G106" s="695"/>
      <c r="H106" s="695"/>
      <c r="I106" s="695"/>
      <c r="J106" s="690"/>
      <c r="K106" s="692"/>
    </row>
    <row r="107" spans="1:11">
      <c r="A107" s="704"/>
      <c r="B107" s="687"/>
      <c r="C107" s="687"/>
      <c r="D107" s="695"/>
      <c r="E107" s="695"/>
      <c r="F107" s="695"/>
      <c r="G107" s="695"/>
      <c r="H107" s="695"/>
      <c r="I107" s="695"/>
      <c r="J107" s="690"/>
      <c r="K107" s="692"/>
    </row>
    <row r="108" spans="1:11">
      <c r="B108" s="690"/>
      <c r="C108" s="690"/>
      <c r="D108" s="710"/>
      <c r="E108" s="695"/>
      <c r="F108" s="695"/>
      <c r="G108" s="678"/>
      <c r="H108" s="695"/>
      <c r="I108" s="661"/>
    </row>
    <row r="109" spans="1:11">
      <c r="B109" s="699"/>
      <c r="C109" s="700"/>
      <c r="D109" s="699"/>
      <c r="E109" s="658"/>
      <c r="F109" s="700"/>
      <c r="G109" s="699"/>
      <c r="H109" s="658"/>
      <c r="I109" s="658"/>
      <c r="J109" s="658"/>
      <c r="K109" s="658"/>
    </row>
    <row r="110" spans="1:11" ht="14">
      <c r="B110" s="701"/>
      <c r="C110" s="701"/>
      <c r="D110" s="695"/>
      <c r="E110" s="687"/>
      <c r="F110" s="695"/>
      <c r="G110" s="687"/>
      <c r="H110" s="695"/>
      <c r="I110" s="703"/>
      <c r="J110" s="703"/>
      <c r="K110" s="703"/>
    </row>
    <row r="111" spans="1:11">
      <c r="B111" s="703"/>
      <c r="C111" s="703"/>
      <c r="D111" s="695"/>
      <c r="E111" s="687"/>
      <c r="F111" s="695"/>
      <c r="G111" s="687"/>
      <c r="H111" s="695"/>
      <c r="I111" s="703"/>
      <c r="J111" s="703"/>
      <c r="K111" s="703"/>
    </row>
    <row r="112" spans="1:11">
      <c r="B112" s="703"/>
      <c r="C112" s="703"/>
      <c r="D112" s="695"/>
      <c r="E112" s="687"/>
      <c r="F112" s="695"/>
      <c r="G112" s="687"/>
      <c r="H112" s="695"/>
      <c r="I112" s="703"/>
      <c r="J112" s="703"/>
      <c r="K112" s="703"/>
    </row>
    <row r="113" spans="2:11">
      <c r="B113" s="703"/>
      <c r="C113" s="703"/>
      <c r="D113" s="695"/>
      <c r="E113" s="687"/>
      <c r="F113" s="695"/>
      <c r="G113" s="695"/>
      <c r="H113" s="695"/>
      <c r="I113" s="703"/>
      <c r="J113" s="703"/>
      <c r="K113" s="703"/>
    </row>
    <row r="114" spans="2:11">
      <c r="B114" s="703"/>
      <c r="C114" s="703"/>
      <c r="D114" s="707"/>
      <c r="E114" s="705"/>
      <c r="F114" s="695"/>
      <c r="G114" s="706"/>
      <c r="H114" s="695"/>
      <c r="I114" s="703"/>
      <c r="J114" s="703"/>
      <c r="K114" s="703"/>
    </row>
    <row r="115" spans="2:11">
      <c r="B115" s="718"/>
      <c r="C115" s="697"/>
      <c r="D115" s="697"/>
      <c r="E115" s="718"/>
      <c r="F115" s="697"/>
      <c r="G115" s="697"/>
      <c r="H115" s="697"/>
      <c r="I115" s="703"/>
      <c r="J115" s="703"/>
      <c r="K115" s="703"/>
    </row>
    <row r="116" spans="2:11">
      <c r="B116" s="703"/>
      <c r="C116" s="707"/>
      <c r="D116" s="703"/>
      <c r="E116" s="692"/>
      <c r="F116" s="692"/>
      <c r="G116" s="692"/>
      <c r="H116" s="692"/>
      <c r="I116" s="692"/>
      <c r="J116" s="703"/>
      <c r="K116" s="703"/>
    </row>
    <row r="117" spans="2:11">
      <c r="B117" s="703"/>
      <c r="C117" s="707"/>
      <c r="D117" s="697"/>
      <c r="E117" s="666"/>
      <c r="F117" s="666"/>
      <c r="G117" s="666"/>
      <c r="H117" s="666"/>
      <c r="I117" s="666"/>
      <c r="J117" s="703"/>
      <c r="K117" s="703"/>
    </row>
    <row r="118" spans="2:11">
      <c r="B118" s="695"/>
      <c r="C118" s="708"/>
      <c r="D118" s="709"/>
      <c r="E118" s="669"/>
      <c r="F118" s="669"/>
      <c r="G118" s="669"/>
      <c r="H118" s="669"/>
      <c r="I118" s="669"/>
      <c r="J118" s="692"/>
      <c r="K118" s="703"/>
    </row>
    <row r="119" spans="2:11">
      <c r="B119" s="710"/>
      <c r="C119" s="694"/>
      <c r="D119" s="711"/>
      <c r="E119" s="666"/>
      <c r="F119" s="666"/>
      <c r="G119" s="666"/>
      <c r="H119" s="666"/>
      <c r="I119" s="666"/>
      <c r="J119" s="669"/>
      <c r="K119" s="703"/>
    </row>
    <row r="120" spans="2:11">
      <c r="B120" s="710"/>
      <c r="C120" s="694"/>
      <c r="D120" s="711"/>
      <c r="E120" s="666"/>
      <c r="F120" s="666"/>
      <c r="G120" s="666"/>
      <c r="H120" s="666"/>
      <c r="I120" s="666"/>
      <c r="J120" s="669"/>
      <c r="K120" s="703"/>
    </row>
    <row r="121" spans="2:11">
      <c r="B121" s="710"/>
      <c r="C121" s="694"/>
      <c r="D121" s="711"/>
      <c r="E121" s="666"/>
      <c r="F121" s="666"/>
      <c r="G121" s="666"/>
      <c r="H121" s="666"/>
      <c r="I121" s="666"/>
      <c r="J121" s="669"/>
      <c r="K121" s="703"/>
    </row>
    <row r="122" spans="2:11">
      <c r="B122" s="710"/>
      <c r="C122" s="694"/>
      <c r="D122" s="711"/>
      <c r="E122" s="666"/>
      <c r="F122" s="666"/>
      <c r="G122" s="666"/>
      <c r="H122" s="666"/>
      <c r="I122" s="666"/>
      <c r="J122" s="669"/>
      <c r="K122" s="703"/>
    </row>
    <row r="123" spans="2:11">
      <c r="B123" s="710"/>
      <c r="C123" s="694"/>
      <c r="D123" s="711"/>
      <c r="E123" s="666"/>
      <c r="F123" s="666"/>
      <c r="G123" s="666"/>
      <c r="H123" s="666"/>
      <c r="I123" s="666"/>
      <c r="J123" s="669"/>
      <c r="K123" s="703"/>
    </row>
    <row r="124" spans="2:11">
      <c r="B124" s="710"/>
      <c r="C124" s="694"/>
      <c r="D124" s="711"/>
      <c r="E124" s="666"/>
      <c r="F124" s="666"/>
      <c r="G124" s="666"/>
      <c r="H124" s="666"/>
      <c r="I124" s="666"/>
      <c r="J124" s="669"/>
      <c r="K124" s="703"/>
    </row>
    <row r="125" spans="2:11">
      <c r="B125" s="710"/>
      <c r="C125" s="694"/>
      <c r="D125" s="711"/>
      <c r="E125" s="666"/>
      <c r="F125" s="666"/>
      <c r="G125" s="666"/>
      <c r="H125" s="666"/>
      <c r="I125" s="666"/>
      <c r="J125" s="669"/>
      <c r="K125" s="703"/>
    </row>
    <row r="126" spans="2:11">
      <c r="B126" s="710"/>
      <c r="C126" s="694"/>
      <c r="D126" s="687"/>
      <c r="E126" s="666"/>
      <c r="F126" s="666"/>
      <c r="G126" s="666"/>
      <c r="H126" s="666"/>
      <c r="I126" s="666"/>
      <c r="J126" s="669"/>
      <c r="K126" s="703"/>
    </row>
    <row r="127" spans="2:11">
      <c r="B127" s="710"/>
      <c r="C127" s="694"/>
      <c r="D127" s="687"/>
      <c r="E127" s="666"/>
      <c r="F127" s="666"/>
      <c r="G127" s="666"/>
      <c r="H127" s="666"/>
      <c r="I127" s="666"/>
      <c r="J127" s="669"/>
      <c r="K127" s="703"/>
    </row>
    <row r="128" spans="2:11">
      <c r="B128" s="710"/>
      <c r="C128" s="694"/>
      <c r="D128" s="703"/>
      <c r="E128" s="666"/>
      <c r="F128" s="666"/>
      <c r="G128" s="666"/>
      <c r="H128" s="666"/>
      <c r="I128" s="666"/>
      <c r="J128" s="669"/>
      <c r="K128" s="703"/>
    </row>
    <row r="129" spans="2:11">
      <c r="B129" s="710"/>
      <c r="C129" s="695"/>
      <c r="D129" s="712"/>
      <c r="E129" s="669"/>
      <c r="F129" s="669"/>
      <c r="G129" s="669"/>
      <c r="H129" s="669"/>
      <c r="I129" s="669"/>
      <c r="J129" s="669"/>
      <c r="K129" s="713"/>
    </row>
    <row r="130" spans="2:11">
      <c r="B130" s="703"/>
      <c r="C130" s="703"/>
      <c r="D130" s="712"/>
      <c r="E130" s="669"/>
      <c r="F130" s="669"/>
      <c r="G130" s="669"/>
      <c r="H130" s="669"/>
      <c r="I130" s="669"/>
      <c r="J130" s="692"/>
      <c r="K130" s="713"/>
    </row>
    <row r="131" spans="2:11" ht="14">
      <c r="B131" s="714"/>
      <c r="C131" s="703"/>
      <c r="D131" s="703"/>
      <c r="E131" s="703"/>
      <c r="F131" s="703"/>
      <c r="G131" s="703"/>
      <c r="H131" s="703"/>
      <c r="I131" s="703"/>
      <c r="J131" s="703"/>
      <c r="K131" s="703"/>
    </row>
    <row r="132" spans="2:11">
      <c r="B132" s="692"/>
      <c r="C132" s="692"/>
      <c r="D132" s="703"/>
      <c r="E132" s="703"/>
      <c r="F132" s="703"/>
      <c r="G132" s="703"/>
      <c r="H132" s="703"/>
      <c r="I132" s="703"/>
      <c r="J132" s="703"/>
      <c r="K132" s="703"/>
    </row>
    <row r="133" spans="2:11">
      <c r="B133" s="695"/>
      <c r="C133" s="703"/>
      <c r="D133" s="703"/>
      <c r="E133" s="703"/>
      <c r="F133" s="703"/>
      <c r="G133" s="703"/>
      <c r="H133" s="703"/>
      <c r="I133" s="703"/>
      <c r="J133" s="703"/>
      <c r="K133" s="703"/>
    </row>
    <row r="134" spans="2:11">
      <c r="B134" s="695"/>
      <c r="C134" s="703"/>
      <c r="D134" s="703"/>
      <c r="E134" s="703"/>
      <c r="F134" s="703"/>
      <c r="G134" s="703"/>
      <c r="H134" s="703"/>
      <c r="I134" s="703"/>
      <c r="J134" s="703"/>
      <c r="K134" s="703"/>
    </row>
    <row r="135" spans="2:11">
      <c r="B135" s="695"/>
      <c r="C135" s="703"/>
      <c r="D135" s="703"/>
      <c r="E135" s="703"/>
      <c r="F135" s="703"/>
      <c r="G135" s="703"/>
      <c r="H135" s="703"/>
      <c r="I135" s="703"/>
      <c r="J135" s="703"/>
      <c r="K135" s="703"/>
    </row>
    <row r="136" spans="2:11">
      <c r="B136" s="692"/>
      <c r="C136" s="692"/>
      <c r="D136" s="703"/>
      <c r="E136" s="703"/>
      <c r="F136" s="703"/>
      <c r="G136" s="703"/>
      <c r="H136" s="703"/>
      <c r="I136" s="703"/>
      <c r="J136" s="703"/>
      <c r="K136" s="703"/>
    </row>
    <row r="137" spans="2:11">
      <c r="B137" s="708"/>
      <c r="C137" s="708"/>
      <c r="D137" s="713"/>
      <c r="E137" s="703"/>
      <c r="F137" s="703"/>
      <c r="G137" s="703"/>
      <c r="H137" s="703"/>
      <c r="I137" s="703"/>
      <c r="J137" s="703"/>
      <c r="K137" s="703"/>
    </row>
    <row r="138" spans="2:11">
      <c r="B138" s="703"/>
      <c r="C138" s="703"/>
      <c r="D138" s="703"/>
      <c r="E138" s="703"/>
      <c r="F138" s="703"/>
      <c r="G138" s="703"/>
      <c r="H138" s="703"/>
      <c r="I138" s="703"/>
      <c r="J138" s="703"/>
      <c r="K138" s="703"/>
    </row>
    <row r="139" spans="2:11" ht="14">
      <c r="B139" s="714"/>
      <c r="C139" s="692"/>
      <c r="D139" s="692"/>
      <c r="E139" s="692"/>
      <c r="F139" s="695"/>
      <c r="G139" s="695"/>
      <c r="H139" s="695"/>
      <c r="I139" s="703"/>
      <c r="J139" s="703"/>
      <c r="K139" s="703"/>
    </row>
    <row r="140" spans="2:11">
      <c r="B140" s="692"/>
      <c r="C140" s="669"/>
      <c r="D140" s="666"/>
      <c r="E140" s="703"/>
      <c r="F140" s="705"/>
      <c r="G140" s="715"/>
      <c r="H140" s="687"/>
      <c r="I140" s="703"/>
      <c r="J140" s="703"/>
      <c r="K140" s="703"/>
    </row>
    <row r="141" spans="2:11">
      <c r="B141" s="695"/>
      <c r="C141" s="695"/>
      <c r="D141" s="710"/>
      <c r="E141" s="703"/>
      <c r="F141" s="715"/>
      <c r="G141" s="715"/>
      <c r="H141" s="679"/>
      <c r="I141" s="703"/>
      <c r="J141" s="703"/>
      <c r="K141" s="703"/>
    </row>
    <row r="142" spans="2:11">
      <c r="B142" s="695"/>
      <c r="C142" s="695"/>
      <c r="D142" s="710"/>
      <c r="E142" s="703"/>
      <c r="F142" s="703"/>
      <c r="G142" s="703"/>
      <c r="H142" s="703"/>
      <c r="I142" s="703"/>
      <c r="J142" s="703"/>
      <c r="K142" s="703"/>
    </row>
    <row r="143" spans="2:11">
      <c r="B143" s="695"/>
      <c r="C143" s="695"/>
      <c r="D143" s="710"/>
      <c r="E143" s="703"/>
      <c r="F143" s="703"/>
      <c r="G143" s="703"/>
      <c r="H143" s="703"/>
      <c r="I143" s="703"/>
      <c r="J143" s="703"/>
      <c r="K143" s="703"/>
    </row>
    <row r="144" spans="2:11">
      <c r="B144" s="703"/>
      <c r="C144" s="703"/>
      <c r="D144" s="703"/>
      <c r="E144" s="703"/>
      <c r="F144" s="703"/>
      <c r="G144" s="703"/>
      <c r="H144" s="703"/>
      <c r="I144" s="703"/>
      <c r="J144" s="703"/>
      <c r="K144" s="703"/>
    </row>
    <row r="145" spans="1:11">
      <c r="B145" s="708"/>
      <c r="C145" s="695"/>
      <c r="D145" s="710"/>
      <c r="E145" s="703"/>
      <c r="F145" s="703"/>
      <c r="G145" s="703"/>
      <c r="H145" s="703"/>
      <c r="I145" s="703"/>
      <c r="J145" s="703"/>
      <c r="K145" s="703"/>
    </row>
    <row r="146" spans="1:11">
      <c r="B146" s="716"/>
      <c r="C146" s="692"/>
      <c r="D146" s="716"/>
      <c r="E146" s="692"/>
      <c r="F146" s="703"/>
      <c r="G146" s="703"/>
      <c r="H146" s="703"/>
      <c r="I146" s="703"/>
      <c r="J146" s="703"/>
      <c r="K146" s="703"/>
    </row>
    <row r="147" spans="1:11">
      <c r="B147" s="678"/>
      <c r="C147" s="708"/>
      <c r="D147" s="678"/>
      <c r="E147" s="708"/>
      <c r="F147" s="703"/>
      <c r="G147" s="703"/>
      <c r="H147" s="703"/>
      <c r="I147" s="703"/>
      <c r="J147" s="703"/>
      <c r="K147" s="703"/>
    </row>
    <row r="148" spans="1:11">
      <c r="B148" s="678"/>
      <c r="C148" s="708"/>
      <c r="D148" s="678"/>
      <c r="E148" s="708"/>
      <c r="F148" s="703"/>
      <c r="G148" s="703"/>
      <c r="H148" s="703"/>
      <c r="I148" s="703"/>
      <c r="J148" s="703"/>
      <c r="K148" s="703"/>
    </row>
    <row r="149" spans="1:11">
      <c r="B149" s="678"/>
      <c r="C149" s="708"/>
      <c r="D149" s="678"/>
      <c r="E149" s="708"/>
      <c r="F149" s="703"/>
      <c r="G149" s="703"/>
      <c r="H149" s="703"/>
      <c r="I149" s="703"/>
      <c r="J149" s="703"/>
      <c r="K149" s="703"/>
    </row>
    <row r="150" spans="1:11">
      <c r="B150" s="678"/>
      <c r="C150" s="708"/>
      <c r="D150" s="678"/>
      <c r="E150" s="708"/>
      <c r="F150" s="717"/>
      <c r="G150" s="717"/>
      <c r="H150" s="717"/>
      <c r="I150" s="695"/>
      <c r="J150" s="687"/>
      <c r="K150" s="703"/>
    </row>
    <row r="151" spans="1:11" ht="14">
      <c r="A151" s="719"/>
      <c r="B151" s="687"/>
      <c r="C151" s="687"/>
      <c r="D151" s="695"/>
      <c r="E151" s="695"/>
      <c r="F151" s="695"/>
      <c r="G151" s="695"/>
      <c r="H151" s="695"/>
      <c r="I151" s="695"/>
      <c r="J151" s="690"/>
      <c r="K151" s="692"/>
    </row>
    <row r="152" spans="1:11" ht="14">
      <c r="D152" s="720"/>
      <c r="E152" s="661"/>
      <c r="F152" s="661"/>
      <c r="J152" s="721"/>
    </row>
    <row r="153" spans="1:11">
      <c r="B153" s="678"/>
      <c r="C153" s="678"/>
      <c r="D153" s="678"/>
      <c r="E153" s="666"/>
      <c r="F153" s="666"/>
      <c r="J153" s="669"/>
    </row>
    <row r="154" spans="1:11" ht="14">
      <c r="A154" s="698"/>
      <c r="B154" s="701"/>
      <c r="C154" s="701"/>
      <c r="D154" s="695"/>
      <c r="E154" s="687"/>
      <c r="F154" s="695"/>
      <c r="G154" s="687"/>
      <c r="H154" s="695"/>
      <c r="I154" s="703"/>
      <c r="J154" s="703"/>
    </row>
    <row r="155" spans="1:11">
      <c r="B155" s="703"/>
      <c r="C155" s="703"/>
      <c r="D155" s="695"/>
      <c r="E155" s="687"/>
      <c r="F155" s="695"/>
      <c r="G155" s="687"/>
      <c r="H155" s="695"/>
      <c r="I155" s="703"/>
      <c r="J155" s="703"/>
    </row>
    <row r="156" spans="1:11">
      <c r="B156" s="703"/>
      <c r="C156" s="703"/>
      <c r="D156" s="695"/>
      <c r="E156" s="687"/>
      <c r="F156" s="695"/>
      <c r="G156" s="687"/>
      <c r="H156" s="695"/>
      <c r="I156" s="703"/>
      <c r="J156" s="703"/>
    </row>
    <row r="157" spans="1:11">
      <c r="B157" s="703"/>
      <c r="C157" s="703"/>
      <c r="D157" s="695"/>
      <c r="E157" s="687"/>
      <c r="F157" s="695"/>
      <c r="G157" s="695"/>
      <c r="H157" s="695"/>
      <c r="I157" s="703"/>
      <c r="J157" s="703"/>
    </row>
    <row r="158" spans="1:11">
      <c r="B158" s="703"/>
      <c r="C158" s="703"/>
      <c r="D158" s="707"/>
      <c r="E158" s="705"/>
      <c r="F158" s="695"/>
      <c r="G158" s="706"/>
      <c r="H158" s="695"/>
      <c r="I158" s="703"/>
      <c r="J158" s="703"/>
    </row>
    <row r="159" spans="1:11">
      <c r="B159" s="661"/>
      <c r="C159" s="661"/>
      <c r="D159" s="707"/>
      <c r="E159" s="705"/>
      <c r="F159" s="707"/>
      <c r="G159" s="697"/>
      <c r="H159" s="695"/>
      <c r="I159" s="703"/>
      <c r="J159" s="703"/>
    </row>
    <row r="160" spans="1:11">
      <c r="B160" s="718"/>
      <c r="C160" s="705"/>
      <c r="D160" s="707"/>
      <c r="E160" s="692"/>
      <c r="F160" s="692"/>
      <c r="G160" s="692"/>
      <c r="H160" s="692"/>
      <c r="I160" s="703"/>
      <c r="J160" s="703"/>
    </row>
    <row r="161" spans="2:10">
      <c r="B161" s="718"/>
      <c r="C161" s="705"/>
      <c r="D161" s="707"/>
      <c r="E161" s="666"/>
      <c r="F161" s="666"/>
      <c r="G161" s="666"/>
      <c r="H161" s="666"/>
      <c r="I161" s="703"/>
      <c r="J161" s="703"/>
    </row>
    <row r="162" spans="2:10">
      <c r="B162" s="718"/>
      <c r="C162" s="705"/>
      <c r="D162" s="695"/>
      <c r="E162" s="722"/>
      <c r="F162" s="722"/>
      <c r="G162" s="722"/>
      <c r="H162" s="722"/>
      <c r="I162" s="703"/>
      <c r="J162" s="703"/>
    </row>
    <row r="163" spans="2:10">
      <c r="B163" s="703"/>
      <c r="C163" s="703"/>
      <c r="D163" s="695"/>
      <c r="E163" s="722"/>
      <c r="F163" s="722"/>
      <c r="G163" s="722"/>
      <c r="H163" s="722"/>
      <c r="I163" s="703"/>
      <c r="J163" s="703"/>
    </row>
    <row r="164" spans="2:10">
      <c r="B164" s="703"/>
      <c r="C164" s="703"/>
      <c r="D164" s="695"/>
      <c r="E164" s="722"/>
      <c r="F164" s="722"/>
      <c r="G164" s="722"/>
      <c r="H164" s="722"/>
      <c r="I164" s="703"/>
      <c r="J164" s="703"/>
    </row>
    <row r="165" spans="2:10">
      <c r="B165" s="697"/>
      <c r="C165" s="697"/>
      <c r="D165" s="694"/>
      <c r="E165" s="722"/>
      <c r="F165" s="722"/>
      <c r="G165" s="722"/>
      <c r="H165" s="722"/>
      <c r="I165" s="703"/>
      <c r="J165" s="703"/>
    </row>
    <row r="166" spans="2:10">
      <c r="B166" s="697"/>
      <c r="C166" s="697"/>
      <c r="D166" s="694"/>
      <c r="E166" s="722"/>
      <c r="F166" s="722"/>
      <c r="G166" s="722"/>
      <c r="H166" s="722"/>
      <c r="I166" s="703"/>
      <c r="J166" s="703"/>
    </row>
    <row r="167" spans="2:10">
      <c r="B167" s="697"/>
      <c r="C167" s="697"/>
      <c r="D167" s="694"/>
      <c r="E167" s="718"/>
      <c r="F167" s="697"/>
      <c r="G167" s="718"/>
      <c r="H167" s="697"/>
      <c r="I167" s="703"/>
      <c r="J167" s="703"/>
    </row>
    <row r="168" spans="2:10">
      <c r="B168" s="703"/>
      <c r="C168" s="707"/>
      <c r="D168" s="695"/>
      <c r="E168" s="692"/>
      <c r="F168" s="692"/>
      <c r="G168" s="692"/>
      <c r="H168" s="692"/>
      <c r="I168" s="703"/>
      <c r="J168" s="703"/>
    </row>
    <row r="169" spans="2:10">
      <c r="B169" s="703"/>
      <c r="C169" s="707"/>
      <c r="D169" s="697"/>
      <c r="E169" s="666"/>
      <c r="F169" s="666"/>
      <c r="G169" s="666"/>
      <c r="H169" s="666"/>
      <c r="I169" s="703"/>
      <c r="J169" s="703"/>
    </row>
    <row r="170" spans="2:10">
      <c r="B170" s="703"/>
      <c r="C170" s="697"/>
      <c r="D170" s="694"/>
      <c r="E170" s="669"/>
      <c r="F170" s="669"/>
      <c r="G170" s="669"/>
      <c r="H170" s="669"/>
      <c r="I170" s="703"/>
      <c r="J170" s="703"/>
    </row>
    <row r="171" spans="2:10">
      <c r="B171" s="703"/>
      <c r="C171" s="697"/>
      <c r="D171" s="694"/>
      <c r="E171" s="669"/>
      <c r="F171" s="669"/>
      <c r="G171" s="669"/>
      <c r="H171" s="669"/>
      <c r="I171" s="703"/>
      <c r="J171" s="703"/>
    </row>
    <row r="172" spans="2:10">
      <c r="B172" s="703"/>
      <c r="C172" s="692"/>
      <c r="D172" s="692"/>
      <c r="E172" s="703"/>
      <c r="F172" s="703"/>
      <c r="G172" s="703"/>
      <c r="H172" s="703"/>
      <c r="I172" s="692"/>
      <c r="J172" s="692"/>
    </row>
    <row r="173" spans="2:10">
      <c r="B173" s="703"/>
      <c r="C173" s="703"/>
      <c r="D173" s="697"/>
      <c r="E173" s="666"/>
      <c r="F173" s="666"/>
      <c r="G173" s="666"/>
      <c r="H173" s="666"/>
      <c r="I173" s="669"/>
      <c r="J173" s="703"/>
    </row>
    <row r="174" spans="2:10">
      <c r="B174" s="703"/>
      <c r="C174" s="666"/>
      <c r="D174" s="722"/>
      <c r="E174" s="666"/>
      <c r="F174" s="666"/>
      <c r="G174" s="666"/>
      <c r="H174" s="666"/>
      <c r="I174" s="669"/>
      <c r="J174" s="692"/>
    </row>
    <row r="175" spans="2:10">
      <c r="B175" s="703"/>
      <c r="C175" s="666"/>
      <c r="D175" s="722"/>
      <c r="E175" s="666"/>
      <c r="F175" s="666"/>
      <c r="G175" s="666"/>
      <c r="H175" s="666"/>
      <c r="I175" s="669"/>
      <c r="J175" s="703"/>
    </row>
    <row r="176" spans="2:10">
      <c r="B176" s="703"/>
      <c r="C176" s="666"/>
      <c r="D176" s="695"/>
      <c r="E176" s="666"/>
      <c r="F176" s="666"/>
      <c r="G176" s="666"/>
      <c r="H176" s="666"/>
      <c r="I176" s="669"/>
      <c r="J176" s="722"/>
    </row>
    <row r="177" spans="2:10">
      <c r="B177" s="703"/>
      <c r="C177" s="703"/>
      <c r="D177" s="697"/>
      <c r="E177" s="666"/>
      <c r="F177" s="666"/>
      <c r="G177" s="666"/>
      <c r="H177" s="666"/>
      <c r="I177" s="669"/>
      <c r="J177" s="703"/>
    </row>
    <row r="178" spans="2:10">
      <c r="B178" s="703"/>
      <c r="C178" s="666"/>
      <c r="D178" s="722"/>
      <c r="E178" s="666"/>
      <c r="F178" s="666"/>
      <c r="G178" s="666"/>
      <c r="H178" s="666"/>
      <c r="I178" s="669"/>
      <c r="J178" s="692"/>
    </row>
    <row r="179" spans="2:10">
      <c r="B179" s="703"/>
      <c r="C179" s="666"/>
      <c r="D179" s="722"/>
      <c r="E179" s="666"/>
      <c r="F179" s="666"/>
      <c r="G179" s="666"/>
      <c r="H179" s="666"/>
      <c r="I179" s="669"/>
      <c r="J179" s="703"/>
    </row>
    <row r="180" spans="2:10">
      <c r="B180" s="703"/>
      <c r="C180" s="666"/>
      <c r="D180" s="695"/>
      <c r="E180" s="666"/>
      <c r="F180" s="666"/>
      <c r="G180" s="666"/>
      <c r="H180" s="666"/>
      <c r="I180" s="669"/>
      <c r="J180" s="722"/>
    </row>
    <row r="181" spans="2:10">
      <c r="B181" s="703"/>
      <c r="C181" s="703"/>
      <c r="D181" s="697"/>
      <c r="E181" s="666"/>
      <c r="F181" s="666"/>
      <c r="G181" s="666"/>
      <c r="H181" s="666"/>
      <c r="I181" s="669"/>
      <c r="J181" s="703"/>
    </row>
    <row r="182" spans="2:10">
      <c r="B182" s="703"/>
      <c r="C182" s="666"/>
      <c r="D182" s="722"/>
      <c r="E182" s="666"/>
      <c r="F182" s="666"/>
      <c r="G182" s="666"/>
      <c r="H182" s="666"/>
      <c r="I182" s="669"/>
      <c r="J182" s="692"/>
    </row>
    <row r="183" spans="2:10">
      <c r="B183" s="703"/>
      <c r="C183" s="666"/>
      <c r="D183" s="722"/>
      <c r="E183" s="666"/>
      <c r="F183" s="666"/>
      <c r="G183" s="666"/>
      <c r="H183" s="666"/>
      <c r="I183" s="669"/>
      <c r="J183" s="703"/>
    </row>
    <row r="184" spans="2:10">
      <c r="B184" s="703"/>
      <c r="C184" s="666"/>
      <c r="D184" s="695"/>
      <c r="E184" s="666"/>
      <c r="F184" s="666"/>
      <c r="G184" s="666"/>
      <c r="H184" s="666"/>
      <c r="I184" s="669"/>
      <c r="J184" s="722"/>
    </row>
    <row r="185" spans="2:10">
      <c r="B185" s="703"/>
      <c r="C185" s="703"/>
      <c r="D185" s="697"/>
      <c r="E185" s="666"/>
      <c r="F185" s="666"/>
      <c r="G185" s="666"/>
      <c r="H185" s="666"/>
      <c r="I185" s="669"/>
      <c r="J185" s="703"/>
    </row>
    <row r="186" spans="2:10">
      <c r="B186" s="703"/>
      <c r="C186" s="666"/>
      <c r="D186" s="722"/>
      <c r="E186" s="666"/>
      <c r="F186" s="666"/>
      <c r="G186" s="666"/>
      <c r="H186" s="666"/>
      <c r="I186" s="669"/>
      <c r="J186" s="692"/>
    </row>
    <row r="187" spans="2:10">
      <c r="B187" s="703"/>
      <c r="C187" s="666"/>
      <c r="D187" s="722"/>
      <c r="E187" s="666"/>
      <c r="F187" s="666"/>
      <c r="G187" s="666"/>
      <c r="H187" s="666"/>
      <c r="I187" s="669"/>
      <c r="J187" s="703"/>
    </row>
    <row r="188" spans="2:10">
      <c r="B188" s="703"/>
      <c r="C188" s="666"/>
      <c r="D188" s="695"/>
      <c r="E188" s="666"/>
      <c r="F188" s="666"/>
      <c r="G188" s="666"/>
      <c r="H188" s="666"/>
      <c r="I188" s="669"/>
      <c r="J188" s="722"/>
    </row>
    <row r="189" spans="2:10">
      <c r="B189" s="703"/>
      <c r="C189" s="703"/>
      <c r="D189" s="697"/>
      <c r="E189" s="666"/>
      <c r="F189" s="666"/>
      <c r="G189" s="666"/>
      <c r="H189" s="666"/>
      <c r="I189" s="669"/>
      <c r="J189" s="703"/>
    </row>
    <row r="190" spans="2:10">
      <c r="B190" s="703"/>
      <c r="C190" s="666"/>
      <c r="D190" s="722"/>
      <c r="E190" s="666"/>
      <c r="F190" s="666"/>
      <c r="G190" s="666"/>
      <c r="H190" s="666"/>
      <c r="I190" s="669"/>
      <c r="J190" s="692"/>
    </row>
    <row r="191" spans="2:10">
      <c r="B191" s="703"/>
      <c r="C191" s="666"/>
      <c r="D191" s="722"/>
      <c r="E191" s="666"/>
      <c r="F191" s="666"/>
      <c r="G191" s="666"/>
      <c r="H191" s="666"/>
      <c r="I191" s="669"/>
      <c r="J191" s="703"/>
    </row>
    <row r="192" spans="2:10">
      <c r="B192" s="703"/>
      <c r="C192" s="666"/>
      <c r="D192" s="695"/>
      <c r="E192" s="666"/>
      <c r="F192" s="666"/>
      <c r="G192" s="666"/>
      <c r="H192" s="666"/>
      <c r="I192" s="669"/>
      <c r="J192" s="722"/>
    </row>
    <row r="193" spans="2:10">
      <c r="B193" s="710"/>
      <c r="C193" s="695"/>
      <c r="D193" s="694"/>
      <c r="E193" s="669"/>
      <c r="F193" s="669"/>
      <c r="G193" s="669"/>
      <c r="H193" s="669"/>
      <c r="I193" s="669"/>
      <c r="J193" s="713"/>
    </row>
    <row r="194" spans="2:10">
      <c r="B194" s="703"/>
      <c r="C194" s="703"/>
      <c r="D194" s="694"/>
      <c r="E194" s="669"/>
      <c r="F194" s="669"/>
      <c r="G194" s="669"/>
      <c r="H194" s="669"/>
      <c r="I194" s="692"/>
      <c r="J194" s="713"/>
    </row>
    <row r="195" spans="2:10" ht="14">
      <c r="B195" s="714"/>
      <c r="C195" s="692"/>
      <c r="D195" s="692"/>
      <c r="E195" s="692"/>
      <c r="F195" s="695"/>
      <c r="G195" s="695"/>
      <c r="H195" s="695"/>
      <c r="I195" s="695"/>
      <c r="J195" s="703"/>
    </row>
    <row r="196" spans="2:10">
      <c r="B196" s="692"/>
      <c r="C196" s="722"/>
      <c r="D196" s="666"/>
      <c r="E196" s="703"/>
      <c r="F196" s="705"/>
      <c r="G196" s="715"/>
      <c r="H196" s="687"/>
      <c r="I196" s="703"/>
      <c r="J196" s="703"/>
    </row>
    <row r="197" spans="2:10">
      <c r="B197" s="695"/>
      <c r="C197" s="723"/>
      <c r="D197" s="710"/>
      <c r="E197" s="703"/>
      <c r="F197" s="715"/>
      <c r="G197" s="715"/>
      <c r="H197" s="715"/>
      <c r="I197" s="715"/>
      <c r="J197" s="703"/>
    </row>
    <row r="198" spans="2:10">
      <c r="B198" s="695"/>
      <c r="C198" s="723"/>
      <c r="D198" s="710"/>
      <c r="E198" s="703"/>
      <c r="F198" s="703"/>
      <c r="G198" s="703"/>
      <c r="H198" s="715"/>
      <c r="I198" s="715"/>
      <c r="J198" s="703"/>
    </row>
    <row r="199" spans="2:10">
      <c r="B199" s="695"/>
      <c r="C199" s="723"/>
      <c r="D199" s="710"/>
      <c r="E199" s="703"/>
      <c r="F199" s="703"/>
      <c r="G199" s="703"/>
      <c r="H199" s="715"/>
      <c r="I199" s="715"/>
      <c r="J199" s="703"/>
    </row>
    <row r="200" spans="2:10">
      <c r="B200" s="692"/>
      <c r="C200" s="722"/>
      <c r="D200" s="666"/>
      <c r="E200" s="692"/>
      <c r="F200" s="703"/>
      <c r="G200" s="703"/>
      <c r="H200" s="703"/>
      <c r="I200" s="703"/>
      <c r="J200" s="703"/>
    </row>
    <row r="201" spans="2:10">
      <c r="B201" s="708"/>
      <c r="C201" s="705"/>
      <c r="D201" s="687"/>
      <c r="E201" s="703"/>
      <c r="F201" s="703"/>
      <c r="G201" s="703"/>
      <c r="H201" s="703"/>
      <c r="I201" s="703"/>
      <c r="J201" s="703"/>
    </row>
    <row r="202" spans="2:10">
      <c r="B202" s="692"/>
      <c r="C202" s="703"/>
      <c r="D202" s="703"/>
      <c r="E202" s="703"/>
      <c r="F202" s="703"/>
      <c r="G202" s="703"/>
      <c r="H202" s="703"/>
      <c r="I202" s="703"/>
      <c r="J202" s="703"/>
    </row>
    <row r="203" spans="2:10">
      <c r="B203" s="708"/>
      <c r="C203" s="695"/>
      <c r="D203" s="710"/>
      <c r="E203" s="703"/>
      <c r="F203" s="703"/>
      <c r="G203" s="703"/>
      <c r="H203" s="703"/>
      <c r="I203" s="703"/>
      <c r="J203" s="703"/>
    </row>
    <row r="204" spans="2:10">
      <c r="B204" s="716"/>
      <c r="C204" s="692"/>
      <c r="D204" s="724"/>
      <c r="E204" s="692"/>
      <c r="F204" s="708"/>
      <c r="G204" s="703"/>
      <c r="I204" s="725"/>
      <c r="J204" s="703"/>
    </row>
    <row r="205" spans="2:10">
      <c r="B205" s="678"/>
      <c r="C205" s="708"/>
      <c r="D205" s="678"/>
      <c r="E205" s="708"/>
      <c r="F205" s="703"/>
      <c r="G205" s="703"/>
      <c r="H205" s="678"/>
      <c r="I205" s="708"/>
      <c r="J205" s="703"/>
    </row>
    <row r="206" spans="2:10">
      <c r="B206" s="678"/>
      <c r="C206" s="708"/>
      <c r="D206" s="678"/>
      <c r="E206" s="708"/>
      <c r="F206" s="703"/>
      <c r="G206" s="703"/>
      <c r="H206" s="678"/>
      <c r="I206" s="708"/>
      <c r="J206" s="703"/>
    </row>
    <row r="207" spans="2:10">
      <c r="B207" s="678"/>
      <c r="C207" s="708"/>
      <c r="D207" s="678"/>
      <c r="E207" s="708"/>
      <c r="F207" s="703"/>
      <c r="G207" s="703"/>
      <c r="H207" s="678"/>
      <c r="I207" s="708"/>
      <c r="J207" s="703"/>
    </row>
    <row r="208" spans="2:10">
      <c r="B208" s="678"/>
      <c r="C208" s="708"/>
      <c r="D208" s="678"/>
      <c r="E208" s="708"/>
      <c r="F208" s="703"/>
      <c r="G208" s="703"/>
      <c r="H208" s="678"/>
      <c r="I208" s="708"/>
      <c r="J208" s="687"/>
    </row>
    <row r="209" spans="1:10" ht="14">
      <c r="B209" s="726"/>
      <c r="C209" s="726"/>
    </row>
    <row r="210" spans="1:10">
      <c r="B210" s="678"/>
      <c r="C210" s="678"/>
      <c r="D210" s="706"/>
    </row>
    <row r="211" spans="1:10" ht="14">
      <c r="A211" s="698"/>
      <c r="B211" s="701"/>
      <c r="C211" s="701"/>
      <c r="D211" s="695"/>
      <c r="E211" s="687"/>
      <c r="F211" s="695"/>
      <c r="G211" s="687"/>
      <c r="H211" s="695"/>
      <c r="I211" s="703"/>
      <c r="J211" s="703"/>
    </row>
    <row r="212" spans="1:10">
      <c r="B212" s="703"/>
      <c r="C212" s="703"/>
      <c r="D212" s="695"/>
      <c r="E212" s="687"/>
      <c r="F212" s="695"/>
      <c r="G212" s="687"/>
      <c r="H212" s="695"/>
      <c r="I212" s="703"/>
      <c r="J212" s="703"/>
    </row>
    <row r="213" spans="1:10">
      <c r="B213" s="703"/>
      <c r="C213" s="703"/>
      <c r="D213" s="695"/>
      <c r="E213" s="687"/>
      <c r="F213" s="695"/>
      <c r="G213" s="687"/>
      <c r="H213" s="695"/>
      <c r="I213" s="703"/>
      <c r="J213" s="703"/>
    </row>
    <row r="214" spans="1:10">
      <c r="B214" s="703"/>
      <c r="C214" s="703"/>
      <c r="D214" s="695"/>
      <c r="E214" s="687"/>
      <c r="F214" s="695"/>
      <c r="G214" s="695"/>
      <c r="H214" s="695"/>
      <c r="I214" s="703"/>
      <c r="J214" s="703"/>
    </row>
    <row r="215" spans="1:10">
      <c r="B215" s="703"/>
      <c r="C215" s="703"/>
      <c r="D215" s="707"/>
      <c r="E215" s="705"/>
      <c r="F215" s="695"/>
      <c r="G215" s="706"/>
      <c r="H215" s="695"/>
      <c r="I215" s="703"/>
      <c r="J215" s="703"/>
    </row>
    <row r="216" spans="1:10">
      <c r="B216" s="661"/>
      <c r="C216" s="661"/>
      <c r="D216" s="707"/>
      <c r="E216" s="705"/>
      <c r="F216" s="707"/>
      <c r="G216" s="697"/>
      <c r="H216" s="695"/>
      <c r="I216" s="703"/>
      <c r="J216" s="703"/>
    </row>
    <row r="217" spans="1:10">
      <c r="B217" s="718"/>
      <c r="C217" s="705"/>
      <c r="D217" s="707"/>
      <c r="E217" s="692"/>
      <c r="F217" s="692"/>
      <c r="G217" s="692"/>
      <c r="H217" s="692"/>
      <c r="I217" s="703"/>
      <c r="J217" s="703"/>
    </row>
    <row r="218" spans="1:10">
      <c r="B218" s="718"/>
      <c r="C218" s="705"/>
      <c r="D218" s="695"/>
      <c r="E218" s="666"/>
      <c r="F218" s="666"/>
      <c r="G218" s="666"/>
      <c r="H218" s="666"/>
      <c r="I218" s="703"/>
      <c r="J218" s="703"/>
    </row>
    <row r="219" spans="1:10">
      <c r="B219" s="718"/>
      <c r="C219" s="705"/>
      <c r="D219" s="690"/>
      <c r="E219" s="722"/>
      <c r="F219" s="722"/>
      <c r="G219" s="722"/>
      <c r="H219" s="722"/>
      <c r="I219" s="703"/>
      <c r="J219" s="703"/>
    </row>
    <row r="220" spans="1:10">
      <c r="B220" s="703"/>
      <c r="C220" s="703"/>
      <c r="D220" s="690"/>
      <c r="E220" s="722"/>
      <c r="F220" s="722"/>
      <c r="G220" s="722"/>
      <c r="H220" s="722"/>
      <c r="I220" s="703"/>
      <c r="J220" s="703"/>
    </row>
    <row r="221" spans="1:10">
      <c r="B221" s="703"/>
      <c r="C221" s="703"/>
      <c r="D221" s="690"/>
      <c r="E221" s="722"/>
      <c r="F221" s="722"/>
      <c r="G221" s="722"/>
      <c r="H221" s="722"/>
      <c r="I221" s="703"/>
      <c r="J221" s="703"/>
    </row>
    <row r="222" spans="1:10">
      <c r="B222" s="697"/>
      <c r="C222" s="697"/>
      <c r="D222" s="690"/>
      <c r="E222" s="722"/>
      <c r="F222" s="722"/>
      <c r="G222" s="722"/>
      <c r="H222" s="722"/>
      <c r="I222" s="703"/>
      <c r="J222" s="703"/>
    </row>
    <row r="223" spans="1:10">
      <c r="B223" s="697"/>
      <c r="C223" s="697"/>
      <c r="D223" s="690"/>
      <c r="E223" s="722"/>
      <c r="F223" s="722"/>
      <c r="G223" s="722"/>
      <c r="H223" s="722"/>
      <c r="I223" s="703"/>
      <c r="J223" s="703"/>
    </row>
    <row r="224" spans="1:10">
      <c r="B224" s="697"/>
      <c r="C224" s="697"/>
      <c r="D224" s="694"/>
      <c r="E224" s="718"/>
      <c r="F224" s="697"/>
      <c r="G224" s="718"/>
      <c r="H224" s="697"/>
      <c r="I224" s="703"/>
      <c r="J224" s="703"/>
    </row>
    <row r="225" spans="2:10">
      <c r="B225" s="703"/>
      <c r="C225" s="707"/>
      <c r="D225" s="695"/>
      <c r="E225" s="692"/>
      <c r="F225" s="692"/>
      <c r="G225" s="692"/>
      <c r="H225" s="692"/>
      <c r="I225" s="703"/>
      <c r="J225" s="703"/>
    </row>
    <row r="226" spans="2:10">
      <c r="B226" s="703"/>
      <c r="C226" s="707"/>
      <c r="D226" s="697"/>
      <c r="E226" s="666"/>
      <c r="F226" s="666"/>
      <c r="G226" s="666"/>
      <c r="H226" s="666"/>
      <c r="I226" s="703"/>
      <c r="J226" s="703"/>
    </row>
    <row r="227" spans="2:10">
      <c r="B227" s="703"/>
      <c r="C227" s="697"/>
      <c r="D227" s="694"/>
      <c r="E227" s="669"/>
      <c r="F227" s="669"/>
      <c r="G227" s="669"/>
      <c r="H227" s="669"/>
      <c r="I227" s="703"/>
      <c r="J227" s="703"/>
    </row>
    <row r="228" spans="2:10">
      <c r="B228" s="703"/>
      <c r="C228" s="697"/>
      <c r="D228" s="694"/>
      <c r="E228" s="669"/>
      <c r="F228" s="669"/>
      <c r="G228" s="669"/>
      <c r="H228" s="669"/>
      <c r="I228" s="703"/>
      <c r="J228" s="703"/>
    </row>
    <row r="229" spans="2:10">
      <c r="B229" s="703"/>
      <c r="C229" s="692"/>
      <c r="D229" s="692"/>
      <c r="E229" s="703"/>
      <c r="F229" s="703"/>
      <c r="G229" s="703"/>
      <c r="H229" s="703"/>
      <c r="I229" s="692"/>
      <c r="J229" s="692"/>
    </row>
    <row r="230" spans="2:10">
      <c r="B230" s="703"/>
      <c r="C230" s="703"/>
      <c r="D230" s="697"/>
      <c r="E230" s="666"/>
      <c r="F230" s="666"/>
      <c r="G230" s="666"/>
      <c r="H230" s="666"/>
      <c r="I230" s="669"/>
      <c r="J230" s="703"/>
    </row>
    <row r="231" spans="2:10">
      <c r="B231" s="703"/>
      <c r="C231" s="666"/>
      <c r="D231" s="722"/>
      <c r="E231" s="666"/>
      <c r="F231" s="666"/>
      <c r="G231" s="666"/>
      <c r="H231" s="666"/>
      <c r="I231" s="669"/>
      <c r="J231" s="692"/>
    </row>
    <row r="232" spans="2:10">
      <c r="B232" s="703"/>
      <c r="C232" s="666"/>
      <c r="D232" s="722"/>
      <c r="E232" s="666"/>
      <c r="F232" s="666"/>
      <c r="G232" s="666"/>
      <c r="H232" s="666"/>
      <c r="I232" s="669"/>
      <c r="J232" s="703"/>
    </row>
    <row r="233" spans="2:10">
      <c r="B233" s="703"/>
      <c r="C233" s="666"/>
      <c r="D233" s="695"/>
      <c r="E233" s="666"/>
      <c r="F233" s="666"/>
      <c r="G233" s="666"/>
      <c r="H233" s="666"/>
      <c r="I233" s="669"/>
      <c r="J233" s="722"/>
    </row>
    <row r="234" spans="2:10">
      <c r="B234" s="703"/>
      <c r="C234" s="703"/>
      <c r="D234" s="697"/>
      <c r="E234" s="666"/>
      <c r="F234" s="666"/>
      <c r="G234" s="666"/>
      <c r="H234" s="666"/>
      <c r="I234" s="669"/>
      <c r="J234" s="703"/>
    </row>
    <row r="235" spans="2:10">
      <c r="B235" s="703"/>
      <c r="C235" s="666"/>
      <c r="D235" s="722"/>
      <c r="E235" s="666"/>
      <c r="F235" s="666"/>
      <c r="G235" s="666"/>
      <c r="H235" s="666"/>
      <c r="I235" s="669"/>
      <c r="J235" s="692"/>
    </row>
    <row r="236" spans="2:10">
      <c r="B236" s="703"/>
      <c r="C236" s="666"/>
      <c r="D236" s="722"/>
      <c r="E236" s="666"/>
      <c r="F236" s="666"/>
      <c r="G236" s="666"/>
      <c r="H236" s="666"/>
      <c r="I236" s="669"/>
      <c r="J236" s="703"/>
    </row>
    <row r="237" spans="2:10">
      <c r="B237" s="703"/>
      <c r="C237" s="666"/>
      <c r="D237" s="695"/>
      <c r="E237" s="666"/>
      <c r="F237" s="666"/>
      <c r="G237" s="666"/>
      <c r="H237" s="666"/>
      <c r="I237" s="669"/>
      <c r="J237" s="722"/>
    </row>
    <row r="238" spans="2:10">
      <c r="B238" s="703"/>
      <c r="C238" s="703"/>
      <c r="D238" s="697"/>
      <c r="E238" s="666"/>
      <c r="F238" s="666"/>
      <c r="G238" s="666"/>
      <c r="H238" s="666"/>
      <c r="I238" s="669"/>
      <c r="J238" s="703"/>
    </row>
    <row r="239" spans="2:10">
      <c r="B239" s="703"/>
      <c r="C239" s="666"/>
      <c r="D239" s="722"/>
      <c r="E239" s="666"/>
      <c r="F239" s="666"/>
      <c r="G239" s="666"/>
      <c r="H239" s="666"/>
      <c r="I239" s="669"/>
      <c r="J239" s="692"/>
    </row>
    <row r="240" spans="2:10">
      <c r="B240" s="703"/>
      <c r="C240" s="666"/>
      <c r="D240" s="722"/>
      <c r="E240" s="666"/>
      <c r="F240" s="666"/>
      <c r="G240" s="666"/>
      <c r="H240" s="666"/>
      <c r="I240" s="669"/>
      <c r="J240" s="703"/>
    </row>
    <row r="241" spans="2:10">
      <c r="B241" s="703"/>
      <c r="C241" s="666"/>
      <c r="D241" s="695"/>
      <c r="E241" s="666"/>
      <c r="F241" s="666"/>
      <c r="G241" s="666"/>
      <c r="H241" s="666"/>
      <c r="I241" s="669"/>
      <c r="J241" s="722"/>
    </row>
    <row r="242" spans="2:10">
      <c r="B242" s="703"/>
      <c r="C242" s="703"/>
      <c r="D242" s="697"/>
      <c r="E242" s="666"/>
      <c r="F242" s="666"/>
      <c r="G242" s="666"/>
      <c r="H242" s="666"/>
      <c r="I242" s="669"/>
      <c r="J242" s="703"/>
    </row>
    <row r="243" spans="2:10">
      <c r="B243" s="703"/>
      <c r="C243" s="666"/>
      <c r="D243" s="722"/>
      <c r="E243" s="666"/>
      <c r="F243" s="666"/>
      <c r="G243" s="666"/>
      <c r="H243" s="666"/>
      <c r="I243" s="669"/>
      <c r="J243" s="692"/>
    </row>
    <row r="244" spans="2:10">
      <c r="B244" s="703"/>
      <c r="C244" s="666"/>
      <c r="D244" s="722"/>
      <c r="E244" s="666"/>
      <c r="F244" s="666"/>
      <c r="G244" s="666"/>
      <c r="H244" s="666"/>
      <c r="I244" s="669"/>
      <c r="J244" s="703"/>
    </row>
    <row r="245" spans="2:10">
      <c r="B245" s="703"/>
      <c r="C245" s="666"/>
      <c r="D245" s="695"/>
      <c r="E245" s="666"/>
      <c r="F245" s="666"/>
      <c r="G245" s="666"/>
      <c r="H245" s="666"/>
      <c r="I245" s="669"/>
      <c r="J245" s="722"/>
    </row>
    <row r="246" spans="2:10">
      <c r="B246" s="703"/>
      <c r="C246" s="703"/>
      <c r="D246" s="697"/>
      <c r="E246" s="666"/>
      <c r="F246" s="666"/>
      <c r="G246" s="666"/>
      <c r="H246" s="666"/>
      <c r="I246" s="669"/>
      <c r="J246" s="703"/>
    </row>
    <row r="247" spans="2:10">
      <c r="B247" s="703"/>
      <c r="C247" s="666"/>
      <c r="D247" s="722"/>
      <c r="E247" s="666"/>
      <c r="F247" s="666"/>
      <c r="G247" s="666"/>
      <c r="H247" s="666"/>
      <c r="I247" s="669"/>
      <c r="J247" s="692"/>
    </row>
    <row r="248" spans="2:10">
      <c r="B248" s="703"/>
      <c r="C248" s="666"/>
      <c r="D248" s="722"/>
      <c r="E248" s="666"/>
      <c r="F248" s="666"/>
      <c r="G248" s="666"/>
      <c r="H248" s="666"/>
      <c r="I248" s="669"/>
      <c r="J248" s="703"/>
    </row>
    <row r="249" spans="2:10">
      <c r="B249" s="703"/>
      <c r="C249" s="666"/>
      <c r="D249" s="695"/>
      <c r="E249" s="666"/>
      <c r="F249" s="666"/>
      <c r="G249" s="666"/>
      <c r="H249" s="666"/>
      <c r="I249" s="669"/>
      <c r="J249" s="722"/>
    </row>
    <row r="250" spans="2:10">
      <c r="B250" s="710"/>
      <c r="C250" s="695"/>
      <c r="D250" s="694"/>
      <c r="E250" s="669"/>
      <c r="F250" s="669"/>
      <c r="G250" s="669"/>
      <c r="H250" s="669"/>
      <c r="I250" s="669"/>
      <c r="J250" s="713"/>
    </row>
    <row r="251" spans="2:10">
      <c r="B251" s="703"/>
      <c r="C251" s="703"/>
      <c r="D251" s="694"/>
      <c r="E251" s="669"/>
      <c r="F251" s="669"/>
      <c r="G251" s="669"/>
      <c r="H251" s="669"/>
      <c r="I251" s="692"/>
      <c r="J251" s="713"/>
    </row>
    <row r="252" spans="2:10" ht="14">
      <c r="B252" s="714"/>
      <c r="C252" s="692"/>
      <c r="D252" s="692"/>
      <c r="E252" s="692"/>
      <c r="F252" s="695"/>
      <c r="G252" s="695"/>
      <c r="H252" s="695"/>
      <c r="I252" s="695"/>
      <c r="J252" s="703"/>
    </row>
    <row r="253" spans="2:10">
      <c r="B253" s="692"/>
      <c r="C253" s="722"/>
      <c r="D253" s="666"/>
      <c r="E253" s="703"/>
      <c r="F253" s="705"/>
      <c r="G253" s="715"/>
      <c r="H253" s="687"/>
      <c r="I253" s="703"/>
      <c r="J253" s="703"/>
    </row>
    <row r="254" spans="2:10">
      <c r="B254" s="695"/>
      <c r="C254" s="723"/>
      <c r="D254" s="710"/>
      <c r="E254" s="703"/>
      <c r="F254" s="715"/>
      <c r="G254" s="715"/>
      <c r="H254" s="715"/>
      <c r="I254" s="715"/>
      <c r="J254" s="703"/>
    </row>
    <row r="255" spans="2:10">
      <c r="B255" s="695"/>
      <c r="C255" s="723"/>
      <c r="D255" s="710"/>
      <c r="E255" s="703"/>
      <c r="F255" s="703"/>
      <c r="G255" s="703"/>
      <c r="H255" s="715"/>
      <c r="I255" s="715"/>
      <c r="J255" s="703"/>
    </row>
    <row r="256" spans="2:10">
      <c r="B256" s="695"/>
      <c r="C256" s="723"/>
      <c r="D256" s="710"/>
      <c r="E256" s="703"/>
      <c r="F256" s="703"/>
      <c r="G256" s="703"/>
      <c r="H256" s="715"/>
      <c r="I256" s="715"/>
      <c r="J256" s="703"/>
    </row>
    <row r="257" spans="2:10">
      <c r="B257" s="692"/>
      <c r="C257" s="722"/>
      <c r="D257" s="666"/>
      <c r="E257" s="692"/>
      <c r="F257" s="703"/>
      <c r="G257" s="703"/>
      <c r="H257" s="703"/>
      <c r="I257" s="703"/>
      <c r="J257" s="703"/>
    </row>
    <row r="258" spans="2:10">
      <c r="B258" s="708"/>
      <c r="C258" s="705"/>
      <c r="D258" s="687"/>
      <c r="E258" s="703"/>
      <c r="F258" s="703"/>
      <c r="G258" s="703"/>
      <c r="H258" s="703"/>
      <c r="I258" s="703"/>
      <c r="J258" s="703"/>
    </row>
    <row r="259" spans="2:10">
      <c r="B259" s="692"/>
      <c r="C259" s="703"/>
      <c r="D259" s="703"/>
      <c r="E259" s="703"/>
      <c r="F259" s="703"/>
      <c r="G259" s="703"/>
      <c r="H259" s="703"/>
      <c r="I259" s="703"/>
      <c r="J259" s="703"/>
    </row>
    <row r="260" spans="2:10">
      <c r="B260" s="708"/>
      <c r="C260" s="695"/>
      <c r="D260" s="710"/>
      <c r="E260" s="703"/>
      <c r="F260" s="703"/>
      <c r="G260" s="703"/>
      <c r="H260" s="703"/>
      <c r="I260" s="703"/>
      <c r="J260" s="703"/>
    </row>
    <row r="261" spans="2:10">
      <c r="B261" s="716"/>
      <c r="C261" s="692"/>
      <c r="D261" s="724"/>
      <c r="E261" s="692"/>
      <c r="F261" s="708"/>
      <c r="G261" s="703"/>
      <c r="I261" s="725"/>
      <c r="J261" s="703"/>
    </row>
    <row r="262" spans="2:10">
      <c r="B262" s="678"/>
      <c r="C262" s="708"/>
      <c r="D262" s="678"/>
      <c r="E262" s="708"/>
      <c r="F262" s="703"/>
      <c r="G262" s="703"/>
      <c r="H262" s="678"/>
      <c r="I262" s="708"/>
      <c r="J262" s="703"/>
    </row>
    <row r="263" spans="2:10">
      <c r="B263" s="678"/>
      <c r="C263" s="708"/>
      <c r="D263" s="678"/>
      <c r="E263" s="708"/>
      <c r="F263" s="703"/>
      <c r="G263" s="703"/>
      <c r="H263" s="678"/>
      <c r="I263" s="708"/>
      <c r="J263" s="703"/>
    </row>
    <row r="264" spans="2:10">
      <c r="B264" s="678"/>
      <c r="C264" s="708"/>
      <c r="D264" s="678"/>
      <c r="E264" s="708"/>
      <c r="F264" s="703"/>
      <c r="G264" s="703"/>
      <c r="H264" s="678"/>
      <c r="I264" s="708"/>
      <c r="J264" s="703"/>
    </row>
    <row r="265" spans="2:10">
      <c r="B265" s="678"/>
      <c r="C265" s="708"/>
      <c r="D265" s="678"/>
      <c r="E265" s="708"/>
      <c r="F265" s="703"/>
      <c r="G265" s="703"/>
      <c r="H265" s="678"/>
      <c r="I265" s="708"/>
      <c r="J265" s="687"/>
    </row>
    <row r="266" spans="2:10">
      <c r="D266" s="678"/>
      <c r="E266" s="666"/>
      <c r="F266" s="666"/>
      <c r="G266" s="666"/>
      <c r="H266" s="666"/>
      <c r="I266" s="671"/>
    </row>
    <row r="267" spans="2:10">
      <c r="D267" s="678"/>
      <c r="E267" s="666"/>
      <c r="F267" s="666"/>
      <c r="G267" s="666"/>
      <c r="H267" s="666"/>
      <c r="I267" s="671"/>
    </row>
    <row r="268" spans="2:10">
      <c r="D268" s="678"/>
      <c r="E268" s="666"/>
      <c r="F268" s="666"/>
      <c r="G268" s="666"/>
      <c r="H268" s="666"/>
      <c r="I268" s="671"/>
    </row>
    <row r="269" spans="2:10">
      <c r="D269" s="678"/>
      <c r="E269" s="666"/>
      <c r="F269" s="666"/>
      <c r="G269" s="666"/>
      <c r="H269" s="666"/>
      <c r="I269" s="671"/>
    </row>
    <row r="270" spans="2:10">
      <c r="D270" s="678"/>
      <c r="E270" s="666"/>
      <c r="F270" s="666"/>
      <c r="G270" s="666"/>
      <c r="H270" s="666"/>
      <c r="I270" s="671"/>
    </row>
    <row r="271" spans="2:10">
      <c r="D271" s="678"/>
      <c r="E271" s="666"/>
      <c r="F271" s="666"/>
      <c r="G271" s="666"/>
      <c r="H271" s="666"/>
      <c r="I271" s="671"/>
    </row>
    <row r="272" spans="2:10">
      <c r="D272" s="678"/>
      <c r="E272" s="666"/>
      <c r="F272" s="666"/>
      <c r="G272" s="666"/>
      <c r="H272" s="666"/>
      <c r="I272" s="671"/>
    </row>
    <row r="273" spans="1:10">
      <c r="D273" s="678"/>
      <c r="E273" s="666"/>
      <c r="F273" s="666"/>
      <c r="G273" s="666"/>
      <c r="H273" s="666"/>
      <c r="I273" s="671"/>
    </row>
    <row r="274" spans="1:10">
      <c r="E274" s="661"/>
      <c r="F274" s="661"/>
      <c r="G274" s="661"/>
      <c r="H274" s="661"/>
    </row>
    <row r="275" spans="1:10" ht="14">
      <c r="A275" s="719"/>
      <c r="B275" s="720"/>
      <c r="C275" s="720"/>
      <c r="D275" s="678"/>
      <c r="E275" s="687"/>
      <c r="F275" s="678"/>
      <c r="G275" s="687"/>
    </row>
    <row r="276" spans="1:10">
      <c r="D276" s="678"/>
      <c r="E276" s="687"/>
      <c r="F276" s="678"/>
      <c r="G276" s="687"/>
    </row>
    <row r="277" spans="1:10">
      <c r="D277" s="678"/>
      <c r="E277" s="687"/>
      <c r="F277" s="678"/>
      <c r="G277" s="687"/>
    </row>
    <row r="278" spans="1:10">
      <c r="D278" s="678"/>
      <c r="E278" s="687"/>
      <c r="F278" s="678"/>
      <c r="G278" s="687"/>
    </row>
    <row r="279" spans="1:10">
      <c r="D279" s="718"/>
      <c r="E279" s="705"/>
      <c r="F279" s="678"/>
      <c r="G279" s="706"/>
    </row>
    <row r="280" spans="1:10">
      <c r="B280" s="718"/>
      <c r="C280" s="697"/>
      <c r="D280" s="709"/>
      <c r="E280" s="669"/>
      <c r="F280" s="669"/>
      <c r="G280" s="669"/>
      <c r="H280" s="669"/>
    </row>
    <row r="281" spans="1:10">
      <c r="B281" s="718"/>
      <c r="C281" s="697"/>
      <c r="E281" s="697"/>
      <c r="F281" s="697"/>
      <c r="G281" s="697"/>
      <c r="H281" s="697"/>
    </row>
    <row r="282" spans="1:10">
      <c r="C282" s="697"/>
      <c r="D282" s="697"/>
      <c r="E282" s="661"/>
      <c r="F282" s="661"/>
      <c r="G282" s="661"/>
      <c r="H282" s="661"/>
    </row>
    <row r="283" spans="1:10">
      <c r="B283" s="678"/>
      <c r="C283" s="727"/>
      <c r="D283" s="697"/>
      <c r="E283" s="666"/>
      <c r="F283" s="666"/>
      <c r="G283" s="666"/>
      <c r="H283" s="666"/>
      <c r="I283" s="661"/>
      <c r="J283" s="661"/>
    </row>
    <row r="284" spans="1:10">
      <c r="B284" s="710"/>
      <c r="C284" s="678"/>
      <c r="D284" s="666"/>
      <c r="E284" s="666"/>
      <c r="F284" s="666"/>
      <c r="G284" s="666"/>
      <c r="H284" s="666"/>
      <c r="I284" s="666"/>
      <c r="J284" s="692"/>
    </row>
    <row r="285" spans="1:10">
      <c r="B285" s="710"/>
      <c r="C285" s="678"/>
      <c r="D285" s="666"/>
      <c r="E285" s="666"/>
      <c r="F285" s="666"/>
      <c r="G285" s="666"/>
      <c r="H285" s="666"/>
      <c r="I285" s="666"/>
      <c r="J285" s="692"/>
    </row>
    <row r="286" spans="1:10">
      <c r="B286" s="710"/>
      <c r="C286" s="678"/>
      <c r="D286" s="666"/>
      <c r="E286" s="666"/>
      <c r="F286" s="666"/>
      <c r="G286" s="666"/>
      <c r="H286" s="666"/>
      <c r="I286" s="666"/>
      <c r="J286" s="692"/>
    </row>
    <row r="287" spans="1:10">
      <c r="B287" s="710"/>
      <c r="C287" s="678"/>
      <c r="D287" s="666"/>
      <c r="E287" s="666"/>
      <c r="F287" s="666"/>
      <c r="G287" s="666"/>
      <c r="H287" s="666"/>
      <c r="I287" s="666"/>
      <c r="J287" s="692"/>
    </row>
    <row r="288" spans="1:10">
      <c r="B288" s="710"/>
      <c r="C288" s="678"/>
      <c r="D288" s="709"/>
      <c r="E288" s="666"/>
      <c r="F288" s="666"/>
      <c r="G288" s="666"/>
      <c r="H288" s="666"/>
      <c r="I288" s="666"/>
      <c r="J288" s="671"/>
    </row>
    <row r="289" spans="2:10">
      <c r="D289" s="709"/>
      <c r="E289" s="722"/>
      <c r="F289" s="722"/>
      <c r="G289" s="722"/>
      <c r="H289" s="722"/>
      <c r="I289" s="661"/>
      <c r="J289" s="671"/>
    </row>
    <row r="290" spans="2:10" ht="14">
      <c r="B290" s="726"/>
      <c r="C290" s="661"/>
      <c r="D290" s="661"/>
      <c r="E290" s="661"/>
      <c r="F290" s="678"/>
      <c r="G290" s="678"/>
    </row>
    <row r="291" spans="2:10">
      <c r="B291" s="661"/>
      <c r="C291" s="661"/>
      <c r="D291" s="666"/>
      <c r="F291" s="687"/>
    </row>
    <row r="292" spans="2:10">
      <c r="B292" s="678"/>
      <c r="D292" s="710"/>
      <c r="E292" s="703"/>
      <c r="F292" s="679"/>
      <c r="G292" s="679"/>
    </row>
    <row r="293" spans="2:10">
      <c r="B293" s="678"/>
      <c r="D293" s="710"/>
      <c r="E293" s="703"/>
    </row>
    <row r="294" spans="2:10">
      <c r="B294" s="678"/>
      <c r="D294" s="710"/>
      <c r="E294" s="703"/>
    </row>
    <row r="296" spans="2:10">
      <c r="B296" s="727"/>
      <c r="C296" s="678"/>
      <c r="D296" s="710"/>
    </row>
    <row r="297" spans="2:10">
      <c r="B297" s="727"/>
      <c r="C297" s="661"/>
      <c r="D297" s="666"/>
    </row>
    <row r="298" spans="2:10">
      <c r="B298" s="678"/>
      <c r="C298" s="727"/>
      <c r="D298" s="666"/>
    </row>
    <row r="299" spans="2:10">
      <c r="B299" s="678"/>
      <c r="C299" s="727"/>
      <c r="D299" s="687"/>
      <c r="E299" s="671"/>
    </row>
    <row r="300" spans="2:10">
      <c r="B300" s="678"/>
      <c r="C300" s="727"/>
    </row>
    <row r="301" spans="2:10">
      <c r="B301" s="678"/>
      <c r="C301" s="727"/>
      <c r="D301" s="707"/>
      <c r="E301" s="705"/>
      <c r="F301" s="717"/>
      <c r="G301" s="678"/>
      <c r="H301" s="687"/>
      <c r="I301" s="692"/>
    </row>
    <row r="302" spans="2:10">
      <c r="B302" s="687"/>
      <c r="C302" s="687"/>
      <c r="D302" s="695"/>
      <c r="E302" s="695"/>
      <c r="F302" s="695"/>
      <c r="G302" s="678"/>
      <c r="H302" s="690"/>
      <c r="I302" s="661"/>
    </row>
    <row r="303" spans="2:10">
      <c r="B303" s="727"/>
      <c r="C303" s="661"/>
      <c r="D303" s="666"/>
      <c r="E303" s="669"/>
      <c r="F303" s="669"/>
      <c r="G303" s="669"/>
      <c r="H303" s="692"/>
      <c r="I303" s="661"/>
    </row>
    <row r="304" spans="2:10">
      <c r="B304" s="678"/>
      <c r="C304" s="727"/>
      <c r="D304" s="710"/>
      <c r="E304" s="694"/>
      <c r="F304" s="694"/>
      <c r="G304" s="694"/>
      <c r="H304" s="695"/>
      <c r="I304" s="678"/>
    </row>
    <row r="305" spans="2:10">
      <c r="B305" s="678"/>
      <c r="C305" s="727"/>
      <c r="D305" s="710"/>
      <c r="E305" s="694"/>
      <c r="F305" s="694"/>
      <c r="G305" s="694"/>
      <c r="H305" s="695"/>
      <c r="I305" s="678"/>
    </row>
    <row r="306" spans="2:10">
      <c r="B306" s="678"/>
      <c r="C306" s="727"/>
      <c r="D306" s="710"/>
      <c r="E306" s="694"/>
      <c r="F306" s="694"/>
      <c r="G306" s="694"/>
      <c r="H306" s="695"/>
      <c r="I306" s="678"/>
    </row>
    <row r="307" spans="2:10">
      <c r="B307" s="678"/>
      <c r="C307" s="727"/>
      <c r="D307" s="666"/>
      <c r="E307" s="669"/>
      <c r="F307" s="669"/>
      <c r="G307" s="694"/>
      <c r="H307" s="690"/>
    </row>
    <row r="308" spans="2:10">
      <c r="B308" s="687"/>
      <c r="C308" s="687"/>
      <c r="D308" s="687"/>
      <c r="E308" s="697"/>
      <c r="F308" s="697"/>
      <c r="G308" s="697"/>
      <c r="H308" s="687"/>
    </row>
    <row r="309" spans="2:10">
      <c r="B309" s="678"/>
      <c r="C309" s="678"/>
      <c r="D309" s="678"/>
      <c r="E309" s="661"/>
      <c r="F309" s="661"/>
      <c r="G309" s="661"/>
      <c r="H309" s="661"/>
    </row>
    <row r="310" spans="2:10">
      <c r="B310" s="678"/>
      <c r="C310" s="678"/>
      <c r="D310" s="678"/>
      <c r="E310" s="666"/>
      <c r="F310" s="666"/>
      <c r="G310" s="666"/>
      <c r="H310" s="666"/>
      <c r="I310" s="661"/>
      <c r="J310" s="678"/>
    </row>
    <row r="311" spans="2:10">
      <c r="B311" s="678"/>
      <c r="C311" s="678"/>
      <c r="D311" s="661"/>
      <c r="E311" s="692"/>
      <c r="F311" s="692"/>
      <c r="G311" s="692"/>
      <c r="H311" s="692"/>
      <c r="I311" s="666"/>
      <c r="J311" s="723"/>
    </row>
    <row r="312" spans="2:10">
      <c r="B312" s="678"/>
      <c r="C312" s="678"/>
      <c r="D312" s="661"/>
      <c r="E312" s="692"/>
      <c r="F312" s="692"/>
      <c r="G312" s="692"/>
      <c r="H312" s="692"/>
      <c r="I312" s="666"/>
      <c r="J312" s="723"/>
    </row>
    <row r="313" spans="2:10">
      <c r="B313" s="678"/>
      <c r="C313" s="678"/>
      <c r="D313" s="661"/>
      <c r="E313" s="692"/>
      <c r="F313" s="692"/>
      <c r="G313" s="692"/>
      <c r="H313" s="692"/>
      <c r="I313" s="666"/>
      <c r="J313" s="723"/>
    </row>
    <row r="314" spans="2:10">
      <c r="B314" s="678"/>
      <c r="C314" s="678"/>
      <c r="D314" s="661"/>
      <c r="E314" s="692"/>
      <c r="F314" s="692"/>
      <c r="G314" s="692"/>
      <c r="H314" s="692"/>
      <c r="I314" s="666"/>
      <c r="J314" s="723"/>
    </row>
    <row r="315" spans="2:10">
      <c r="B315" s="678"/>
      <c r="C315" s="678"/>
      <c r="D315" s="661"/>
      <c r="E315" s="692"/>
      <c r="F315" s="692"/>
      <c r="G315" s="692"/>
      <c r="H315" s="692"/>
      <c r="I315" s="666"/>
      <c r="J315" s="723"/>
    </row>
    <row r="316" spans="2:10">
      <c r="B316" s="678"/>
      <c r="C316" s="678"/>
      <c r="D316" s="661"/>
      <c r="E316" s="692"/>
      <c r="F316" s="692"/>
      <c r="G316" s="692"/>
      <c r="H316" s="692"/>
      <c r="I316" s="666"/>
      <c r="J316" s="723"/>
    </row>
    <row r="317" spans="2:10">
      <c r="B317" s="678"/>
      <c r="C317" s="678"/>
      <c r="D317" s="661"/>
      <c r="E317" s="692"/>
      <c r="F317" s="692"/>
      <c r="G317" s="692"/>
      <c r="H317" s="692"/>
      <c r="I317" s="666"/>
      <c r="J317" s="723"/>
    </row>
    <row r="318" spans="2:10">
      <c r="B318" s="678"/>
      <c r="C318" s="678"/>
      <c r="D318" s="661"/>
      <c r="E318" s="692"/>
      <c r="F318" s="692"/>
      <c r="G318" s="692"/>
      <c r="H318" s="692"/>
      <c r="I318" s="666"/>
      <c r="J318" s="723"/>
    </row>
    <row r="319" spans="2:10">
      <c r="B319" s="710"/>
      <c r="C319" s="678"/>
      <c r="D319" s="709"/>
      <c r="E319" s="669"/>
      <c r="F319" s="669"/>
      <c r="G319" s="669"/>
      <c r="H319" s="669"/>
      <c r="I319" s="666"/>
      <c r="J319" s="671"/>
    </row>
    <row r="320" spans="2:10">
      <c r="D320" s="709"/>
      <c r="E320" s="722"/>
      <c r="F320" s="722"/>
      <c r="G320" s="722"/>
      <c r="H320" s="722"/>
      <c r="I320" s="661"/>
      <c r="J320" s="671"/>
    </row>
    <row r="321" spans="2:9" ht="14">
      <c r="B321" s="726"/>
      <c r="C321" s="661"/>
      <c r="D321" s="661"/>
      <c r="E321" s="661"/>
      <c r="F321" s="678"/>
      <c r="G321" s="678"/>
    </row>
    <row r="322" spans="2:9">
      <c r="B322" s="661"/>
      <c r="C322" s="661"/>
      <c r="D322" s="666"/>
      <c r="F322" s="687"/>
    </row>
    <row r="323" spans="2:9">
      <c r="B323" s="678"/>
      <c r="D323" s="710"/>
      <c r="E323" s="703"/>
      <c r="F323" s="679"/>
      <c r="G323" s="679"/>
    </row>
    <row r="324" spans="2:9">
      <c r="B324" s="678"/>
      <c r="D324" s="710"/>
      <c r="E324" s="703"/>
    </row>
    <row r="325" spans="2:9">
      <c r="B325" s="678"/>
      <c r="D325" s="710"/>
      <c r="E325" s="703"/>
    </row>
    <row r="327" spans="2:9">
      <c r="B327" s="727"/>
      <c r="C327" s="678"/>
      <c r="D327" s="710"/>
    </row>
    <row r="328" spans="2:9">
      <c r="B328" s="727"/>
      <c r="C328" s="661"/>
      <c r="D328" s="666"/>
    </row>
    <row r="329" spans="2:9">
      <c r="B329" s="678"/>
      <c r="C329" s="727"/>
      <c r="D329" s="666"/>
    </row>
    <row r="330" spans="2:9">
      <c r="B330" s="678"/>
      <c r="C330" s="727"/>
      <c r="D330" s="687"/>
      <c r="E330" s="671"/>
    </row>
    <row r="331" spans="2:9">
      <c r="B331" s="678"/>
      <c r="C331" s="727"/>
    </row>
    <row r="332" spans="2:9">
      <c r="B332" s="678"/>
      <c r="C332" s="727"/>
      <c r="D332" s="707"/>
      <c r="E332" s="705"/>
      <c r="F332" s="717"/>
      <c r="G332" s="678"/>
      <c r="H332" s="687"/>
      <c r="I332" s="692"/>
    </row>
    <row r="333" spans="2:9">
      <c r="B333" s="687"/>
      <c r="C333" s="687"/>
      <c r="D333" s="695"/>
      <c r="E333" s="695"/>
      <c r="F333" s="695"/>
      <c r="G333" s="678"/>
      <c r="H333" s="690"/>
      <c r="I333" s="661"/>
    </row>
    <row r="334" spans="2:9">
      <c r="B334" s="727"/>
      <c r="C334" s="661"/>
      <c r="D334" s="666"/>
      <c r="E334" s="669"/>
      <c r="F334" s="669"/>
      <c r="G334" s="669"/>
      <c r="H334" s="692"/>
      <c r="I334" s="661"/>
    </row>
    <row r="335" spans="2:9">
      <c r="B335" s="678"/>
      <c r="C335" s="727"/>
      <c r="D335" s="710"/>
      <c r="E335" s="694"/>
      <c r="F335" s="694"/>
      <c r="G335" s="694"/>
      <c r="H335" s="695"/>
      <c r="I335" s="678"/>
    </row>
    <row r="336" spans="2:9">
      <c r="B336" s="678"/>
      <c r="C336" s="727"/>
      <c r="D336" s="710"/>
      <c r="E336" s="694"/>
      <c r="F336" s="694"/>
      <c r="G336" s="694"/>
      <c r="H336" s="695"/>
      <c r="I336" s="678"/>
    </row>
    <row r="337" spans="2:9">
      <c r="B337" s="678"/>
      <c r="C337" s="727"/>
      <c r="D337" s="710"/>
      <c r="E337" s="694"/>
      <c r="F337" s="694"/>
      <c r="G337" s="694"/>
      <c r="H337" s="695"/>
      <c r="I337" s="678"/>
    </row>
    <row r="338" spans="2:9">
      <c r="B338" s="678"/>
      <c r="C338" s="727"/>
      <c r="D338" s="666"/>
      <c r="E338" s="669"/>
      <c r="F338" s="669"/>
      <c r="G338" s="694"/>
      <c r="H338" s="690"/>
    </row>
    <row r="339" spans="2:9">
      <c r="B339" s="687"/>
      <c r="C339" s="687"/>
      <c r="D339" s="687"/>
      <c r="E339" s="697"/>
      <c r="F339" s="697"/>
      <c r="G339" s="697"/>
      <c r="H339" s="687"/>
    </row>
    <row r="340" spans="2:9">
      <c r="B340" s="678"/>
      <c r="C340" s="678"/>
      <c r="D340" s="727"/>
      <c r="F340" s="678"/>
      <c r="G340" s="727"/>
    </row>
    <row r="341" spans="2:9">
      <c r="B341" s="678"/>
      <c r="C341" s="678"/>
      <c r="D341" s="727"/>
      <c r="F341" s="678"/>
      <c r="G341" s="727"/>
    </row>
    <row r="342" spans="2:9">
      <c r="B342" s="678"/>
      <c r="C342" s="678"/>
      <c r="D342" s="727"/>
      <c r="F342" s="678"/>
      <c r="G342" s="727"/>
    </row>
    <row r="344" spans="2:9">
      <c r="B344" s="727"/>
      <c r="C344" s="727"/>
      <c r="F344" s="727"/>
    </row>
    <row r="345" spans="2:9">
      <c r="B345" s="678"/>
      <c r="C345" s="678"/>
      <c r="D345" s="727"/>
      <c r="F345" s="678"/>
      <c r="G345" s="727"/>
    </row>
    <row r="346" spans="2:9">
      <c r="B346" s="678"/>
      <c r="C346" s="678"/>
      <c r="D346" s="727"/>
      <c r="F346" s="678"/>
      <c r="G346" s="727"/>
    </row>
    <row r="347" spans="2:9">
      <c r="B347" s="678"/>
      <c r="C347" s="678"/>
      <c r="D347" s="727"/>
      <c r="F347" s="678"/>
      <c r="G347" s="727"/>
    </row>
    <row r="349" spans="2:9">
      <c r="B349" s="728"/>
      <c r="C349" s="728"/>
      <c r="D349" s="728"/>
      <c r="E349" s="728"/>
      <c r="F349" s="728"/>
      <c r="G349" s="728"/>
      <c r="H349" s="728"/>
      <c r="I349" s="728"/>
    </row>
    <row r="351" spans="2:9">
      <c r="B351" s="718"/>
      <c r="C351" s="718"/>
      <c r="D351" s="727"/>
    </row>
    <row r="352" spans="2:9">
      <c r="B352" s="678"/>
      <c r="C352" s="678"/>
      <c r="D352" s="678"/>
      <c r="E352" s="678"/>
      <c r="F352" s="678"/>
      <c r="G352" s="678"/>
      <c r="H352" s="678"/>
    </row>
    <row r="353" spans="1:8">
      <c r="B353" s="678"/>
      <c r="C353" s="678"/>
      <c r="D353" s="690"/>
      <c r="E353" s="678"/>
      <c r="F353" s="678"/>
      <c r="G353" s="678"/>
      <c r="H353" s="661"/>
    </row>
    <row r="354" spans="1:8">
      <c r="B354" s="678"/>
      <c r="C354" s="678"/>
      <c r="D354" s="690"/>
      <c r="E354" s="678"/>
      <c r="F354" s="678"/>
      <c r="G354" s="678"/>
      <c r="H354" s="678"/>
    </row>
    <row r="357" spans="1:8" ht="14">
      <c r="A357" s="719"/>
      <c r="B357" s="720"/>
      <c r="C357" s="720"/>
      <c r="D357" s="678"/>
      <c r="E357" s="687"/>
      <c r="F357" s="678"/>
      <c r="G357" s="687"/>
    </row>
    <row r="358" spans="1:8">
      <c r="D358" s="678"/>
      <c r="E358" s="687"/>
      <c r="F358" s="678"/>
      <c r="G358" s="687"/>
    </row>
    <row r="359" spans="1:8">
      <c r="D359" s="678"/>
      <c r="E359" s="687"/>
      <c r="F359" s="678"/>
      <c r="G359" s="687"/>
    </row>
    <row r="360" spans="1:8">
      <c r="B360" s="678"/>
      <c r="C360" s="678"/>
      <c r="D360" s="687"/>
      <c r="E360" s="718"/>
      <c r="F360" s="697"/>
    </row>
    <row r="361" spans="1:8">
      <c r="B361" s="678"/>
      <c r="C361" s="678"/>
      <c r="D361" s="687"/>
      <c r="E361" s="661"/>
      <c r="F361" s="661"/>
      <c r="G361" s="661"/>
    </row>
    <row r="362" spans="1:8">
      <c r="B362" s="678"/>
      <c r="C362" s="678"/>
      <c r="D362" s="729"/>
      <c r="E362" s="666"/>
      <c r="F362" s="666"/>
      <c r="G362" s="666"/>
    </row>
    <row r="363" spans="1:8">
      <c r="B363" s="678"/>
      <c r="C363" s="678"/>
      <c r="D363" s="687"/>
      <c r="E363" s="666"/>
      <c r="F363" s="666"/>
      <c r="G363" s="666"/>
    </row>
    <row r="364" spans="1:8">
      <c r="E364" s="666"/>
      <c r="F364" s="666"/>
      <c r="G364" s="666"/>
    </row>
    <row r="365" spans="1:8" ht="14">
      <c r="D365" s="720"/>
      <c r="E365" s="661"/>
      <c r="F365" s="661"/>
      <c r="G365" s="661"/>
      <c r="H365" s="661"/>
    </row>
    <row r="366" spans="1:8">
      <c r="B366" s="678"/>
      <c r="C366" s="678"/>
      <c r="D366" s="678"/>
      <c r="E366" s="666"/>
      <c r="F366" s="666"/>
      <c r="G366" s="666"/>
      <c r="H366" s="661"/>
    </row>
    <row r="367" spans="1:8">
      <c r="B367" s="678"/>
      <c r="C367" s="678"/>
      <c r="D367" s="678"/>
      <c r="E367" s="666"/>
      <c r="F367" s="666"/>
      <c r="G367" s="666"/>
      <c r="H367" s="661"/>
    </row>
    <row r="368" spans="1:8">
      <c r="B368" s="678"/>
      <c r="C368" s="678"/>
      <c r="D368" s="678"/>
      <c r="E368" s="666"/>
      <c r="F368" s="666"/>
      <c r="G368" s="666"/>
      <c r="H368" s="661"/>
    </row>
    <row r="369" spans="2:11">
      <c r="B369" s="678"/>
      <c r="C369" s="678"/>
      <c r="D369" s="678"/>
      <c r="E369" s="666"/>
      <c r="F369" s="666"/>
      <c r="G369" s="666"/>
      <c r="H369" s="661"/>
      <c r="I369" s="666"/>
      <c r="J369" s="666"/>
      <c r="K369" s="666"/>
    </row>
    <row r="370" spans="2:11">
      <c r="B370" s="678"/>
      <c r="C370" s="678"/>
      <c r="D370" s="678"/>
      <c r="E370" s="666"/>
      <c r="F370" s="666"/>
      <c r="G370" s="666"/>
      <c r="H370" s="661"/>
      <c r="I370" s="710"/>
      <c r="J370" s="710"/>
      <c r="K370" s="710"/>
    </row>
    <row r="371" spans="2:11">
      <c r="B371" s="678"/>
      <c r="C371" s="678"/>
      <c r="D371" s="678"/>
      <c r="E371" s="666"/>
      <c r="F371" s="666"/>
      <c r="G371" s="666"/>
      <c r="H371" s="661"/>
    </row>
    <row r="372" spans="2:11">
      <c r="B372" s="678"/>
      <c r="C372" s="678"/>
      <c r="D372" s="678"/>
      <c r="E372" s="666"/>
      <c r="F372" s="666"/>
      <c r="G372" s="666"/>
      <c r="H372" s="661"/>
      <c r="I372" s="710"/>
      <c r="J372" s="710"/>
      <c r="K372" s="710"/>
    </row>
    <row r="373" spans="2:11">
      <c r="B373" s="678"/>
      <c r="C373" s="678"/>
      <c r="D373" s="678"/>
      <c r="E373" s="666"/>
      <c r="F373" s="666"/>
      <c r="G373" s="666"/>
      <c r="H373" s="661"/>
      <c r="I373" s="710"/>
      <c r="J373" s="710"/>
      <c r="K373" s="710"/>
    </row>
    <row r="374" spans="2:11">
      <c r="B374" s="678"/>
      <c r="C374" s="678"/>
      <c r="D374" s="678"/>
      <c r="E374" s="666"/>
      <c r="F374" s="666"/>
      <c r="G374" s="666"/>
      <c r="H374" s="661"/>
      <c r="I374" s="710"/>
      <c r="J374" s="710"/>
      <c r="K374" s="710"/>
    </row>
    <row r="375" spans="2:11">
      <c r="B375" s="678"/>
      <c r="C375" s="678"/>
      <c r="D375" s="678"/>
      <c r="E375" s="666"/>
      <c r="F375" s="666"/>
      <c r="G375" s="666"/>
      <c r="H375" s="661"/>
      <c r="I375" s="710"/>
      <c r="J375" s="710"/>
      <c r="K375" s="710"/>
    </row>
    <row r="376" spans="2:11">
      <c r="B376" s="678"/>
      <c r="C376" s="678"/>
      <c r="D376" s="678"/>
      <c r="E376" s="666"/>
      <c r="F376" s="666"/>
      <c r="G376" s="666"/>
      <c r="H376" s="661"/>
    </row>
    <row r="377" spans="2:11">
      <c r="B377" s="678"/>
      <c r="C377" s="678"/>
      <c r="D377" s="678"/>
      <c r="E377" s="666"/>
      <c r="F377" s="666"/>
      <c r="G377" s="666"/>
      <c r="H377" s="661"/>
    </row>
    <row r="378" spans="2:11">
      <c r="B378" s="678"/>
      <c r="C378" s="678"/>
      <c r="D378" s="678"/>
      <c r="E378" s="666"/>
      <c r="F378" s="666"/>
      <c r="G378" s="666"/>
      <c r="H378" s="661"/>
    </row>
    <row r="379" spans="2:11">
      <c r="B379" s="678"/>
      <c r="C379" s="678"/>
      <c r="D379" s="678"/>
      <c r="E379" s="666"/>
      <c r="F379" s="666"/>
      <c r="G379" s="666"/>
      <c r="H379" s="661"/>
    </row>
    <row r="380" spans="2:11">
      <c r="B380" s="678"/>
      <c r="C380" s="678"/>
      <c r="D380" s="678"/>
      <c r="E380" s="666"/>
      <c r="F380" s="666"/>
      <c r="G380" s="666"/>
      <c r="H380" s="661"/>
    </row>
    <row r="381" spans="2:11">
      <c r="D381" s="678"/>
      <c r="E381" s="661"/>
      <c r="F381" s="661"/>
      <c r="G381" s="661"/>
      <c r="H381" s="661"/>
      <c r="I381" s="671"/>
    </row>
    <row r="382" spans="2:11">
      <c r="E382" s="661"/>
      <c r="F382" s="661"/>
      <c r="G382" s="661"/>
      <c r="I382" s="671"/>
    </row>
    <row r="383" spans="2:11" ht="14">
      <c r="D383" s="720"/>
      <c r="E383" s="661"/>
      <c r="F383" s="661"/>
      <c r="G383" s="661"/>
      <c r="H383" s="661"/>
      <c r="I383" s="671"/>
    </row>
    <row r="384" spans="2:11">
      <c r="B384" s="678"/>
      <c r="C384" s="678"/>
      <c r="D384" s="678"/>
      <c r="E384" s="666"/>
      <c r="F384" s="666"/>
      <c r="G384" s="666"/>
      <c r="H384" s="666"/>
      <c r="I384" s="671"/>
    </row>
    <row r="385" spans="2:10">
      <c r="B385" s="678"/>
      <c r="C385" s="678"/>
      <c r="D385" s="678"/>
      <c r="E385" s="666"/>
      <c r="F385" s="666"/>
      <c r="G385" s="666"/>
      <c r="H385" s="666"/>
      <c r="I385" s="671"/>
    </row>
    <row r="386" spans="2:10">
      <c r="B386" s="678"/>
      <c r="C386" s="678"/>
      <c r="D386" s="678"/>
      <c r="E386" s="666"/>
      <c r="F386" s="666"/>
      <c r="G386" s="666"/>
      <c r="H386" s="666"/>
      <c r="I386" s="671"/>
    </row>
    <row r="387" spans="2:10">
      <c r="D387" s="678"/>
      <c r="E387" s="666"/>
      <c r="F387" s="666"/>
      <c r="G387" s="666"/>
      <c r="H387" s="666"/>
      <c r="I387" s="671"/>
    </row>
    <row r="388" spans="2:10">
      <c r="E388" s="661"/>
      <c r="F388" s="661"/>
      <c r="G388" s="661"/>
      <c r="H388" s="661"/>
    </row>
    <row r="389" spans="2:10">
      <c r="E389" s="661"/>
      <c r="F389" s="661"/>
      <c r="G389" s="661"/>
      <c r="I389" s="671"/>
    </row>
    <row r="390" spans="2:10" ht="14">
      <c r="D390" s="720"/>
      <c r="E390" s="661"/>
      <c r="F390" s="661"/>
      <c r="G390" s="661"/>
      <c r="H390" s="661"/>
      <c r="I390" s="671"/>
    </row>
    <row r="391" spans="2:10">
      <c r="B391" s="678"/>
      <c r="C391" s="678"/>
      <c r="D391" s="678"/>
      <c r="E391" s="692"/>
      <c r="F391" s="692"/>
      <c r="G391" s="692"/>
      <c r="H391" s="692"/>
      <c r="I391" s="671"/>
    </row>
    <row r="392" spans="2:10">
      <c r="B392" s="678"/>
      <c r="C392" s="678"/>
      <c r="D392" s="678"/>
      <c r="E392" s="692"/>
      <c r="F392" s="692"/>
      <c r="G392" s="692"/>
      <c r="H392" s="692"/>
      <c r="I392" s="671"/>
    </row>
    <row r="393" spans="2:10">
      <c r="B393" s="678"/>
      <c r="C393" s="678"/>
      <c r="D393" s="678"/>
      <c r="E393" s="692"/>
      <c r="F393" s="692"/>
      <c r="G393" s="692"/>
      <c r="H393" s="692"/>
      <c r="I393" s="671"/>
    </row>
    <row r="394" spans="2:10">
      <c r="D394" s="678"/>
      <c r="E394" s="692"/>
      <c r="F394" s="692"/>
      <c r="G394" s="692"/>
      <c r="H394" s="692"/>
      <c r="I394" s="671"/>
    </row>
    <row r="395" spans="2:10">
      <c r="E395" s="661"/>
      <c r="F395" s="661"/>
      <c r="G395" s="661"/>
      <c r="H395" s="661"/>
    </row>
    <row r="396" spans="2:10">
      <c r="E396" s="661"/>
      <c r="F396" s="661"/>
      <c r="G396" s="661"/>
      <c r="H396" s="671"/>
    </row>
    <row r="397" spans="2:10">
      <c r="D397" s="678"/>
      <c r="E397" s="661"/>
      <c r="F397" s="661"/>
      <c r="G397" s="661"/>
      <c r="H397" s="671"/>
    </row>
    <row r="398" spans="2:10">
      <c r="B398" s="678"/>
      <c r="C398" s="678"/>
      <c r="D398" s="678"/>
      <c r="E398" s="692"/>
      <c r="F398" s="692"/>
      <c r="G398" s="692"/>
      <c r="I398" s="730"/>
      <c r="J398" s="730"/>
    </row>
    <row r="399" spans="2:10">
      <c r="B399" s="678"/>
      <c r="C399" s="678"/>
      <c r="D399" s="678"/>
      <c r="E399" s="692"/>
      <c r="F399" s="692"/>
      <c r="G399" s="692"/>
      <c r="I399" s="730"/>
      <c r="J399" s="730"/>
    </row>
    <row r="400" spans="2:10">
      <c r="B400" s="678"/>
      <c r="C400" s="678"/>
      <c r="D400" s="678"/>
      <c r="E400" s="692"/>
      <c r="F400" s="692"/>
      <c r="G400" s="692"/>
      <c r="I400" s="730"/>
      <c r="J400" s="730"/>
    </row>
    <row r="401" spans="2:9">
      <c r="E401" s="661"/>
      <c r="F401" s="661"/>
      <c r="G401" s="661"/>
      <c r="H401" s="661"/>
    </row>
    <row r="402" spans="2:9">
      <c r="B402" s="678"/>
      <c r="C402" s="678"/>
      <c r="D402" s="727"/>
      <c r="E402" s="678"/>
      <c r="F402" s="687"/>
    </row>
    <row r="404" spans="2:9" ht="14">
      <c r="B404" s="726"/>
      <c r="C404" s="726"/>
    </row>
    <row r="405" spans="2:9">
      <c r="B405" s="661"/>
      <c r="C405" s="661"/>
      <c r="D405" s="661"/>
    </row>
    <row r="406" spans="2:9">
      <c r="B406" s="678"/>
      <c r="C406" s="678"/>
    </row>
    <row r="407" spans="2:9">
      <c r="B407" s="678"/>
      <c r="C407" s="678"/>
    </row>
    <row r="408" spans="2:9">
      <c r="B408" s="678"/>
      <c r="C408" s="678"/>
    </row>
    <row r="409" spans="2:9">
      <c r="B409" s="661"/>
      <c r="C409" s="661"/>
      <c r="D409" s="661"/>
    </row>
    <row r="410" spans="2:9">
      <c r="B410" s="727"/>
      <c r="C410" s="727"/>
      <c r="D410" s="727"/>
      <c r="E410" s="671"/>
    </row>
    <row r="411" spans="2:9">
      <c r="B411" s="727"/>
      <c r="C411" s="727"/>
      <c r="D411" s="727"/>
    </row>
    <row r="413" spans="2:9" ht="14">
      <c r="B413" s="731"/>
      <c r="C413" s="731"/>
      <c r="D413" s="707"/>
      <c r="E413" s="705"/>
      <c r="F413" s="717"/>
      <c r="G413" s="678"/>
      <c r="H413" s="687"/>
    </row>
    <row r="414" spans="2:9">
      <c r="B414" s="687"/>
      <c r="C414" s="687"/>
      <c r="D414" s="695"/>
      <c r="E414" s="695"/>
      <c r="F414" s="695"/>
      <c r="G414" s="678"/>
      <c r="H414" s="690"/>
      <c r="I414" s="661"/>
    </row>
    <row r="415" spans="2:9">
      <c r="B415" s="666"/>
      <c r="C415" s="666"/>
      <c r="D415" s="666"/>
      <c r="E415" s="692"/>
      <c r="F415" s="692"/>
      <c r="G415" s="661"/>
      <c r="H415" s="692"/>
      <c r="I415" s="661"/>
    </row>
    <row r="416" spans="2:9">
      <c r="B416" s="690"/>
      <c r="C416" s="690"/>
      <c r="D416" s="710"/>
      <c r="E416" s="695"/>
      <c r="F416" s="695"/>
      <c r="G416" s="678"/>
      <c r="H416" s="695"/>
      <c r="I416" s="661"/>
    </row>
    <row r="417" spans="2:9">
      <c r="B417" s="690"/>
      <c r="C417" s="690"/>
      <c r="D417" s="710"/>
      <c r="E417" s="695"/>
      <c r="F417" s="695"/>
      <c r="G417" s="678"/>
      <c r="H417" s="695"/>
      <c r="I417" s="661"/>
    </row>
    <row r="418" spans="2:9">
      <c r="B418" s="690"/>
      <c r="C418" s="690"/>
      <c r="D418" s="710"/>
      <c r="E418" s="695"/>
      <c r="F418" s="695"/>
      <c r="G418" s="678"/>
      <c r="H418" s="695"/>
      <c r="I418" s="661"/>
    </row>
    <row r="419" spans="2:9">
      <c r="B419" s="666"/>
      <c r="C419" s="666"/>
      <c r="D419" s="666"/>
      <c r="E419" s="692"/>
      <c r="F419" s="692"/>
      <c r="G419" s="678"/>
      <c r="H419" s="690"/>
    </row>
    <row r="420" spans="2:9">
      <c r="B420" s="687"/>
      <c r="C420" s="687"/>
      <c r="D420" s="687"/>
      <c r="E420" s="708"/>
      <c r="F420" s="708"/>
      <c r="G420" s="727"/>
      <c r="H420" s="687"/>
    </row>
    <row r="422" spans="2:9" ht="14">
      <c r="B422" s="726"/>
      <c r="C422" s="726"/>
    </row>
    <row r="423" spans="2:9">
      <c r="B423" s="678"/>
      <c r="C423" s="678"/>
      <c r="D423" s="706"/>
    </row>
    <row r="424" spans="2:9">
      <c r="B424" s="678"/>
      <c r="C424" s="678"/>
      <c r="D424" s="706"/>
    </row>
    <row r="425" spans="2:9">
      <c r="B425" s="727"/>
      <c r="C425" s="727"/>
      <c r="F425" s="727"/>
    </row>
    <row r="426" spans="2:9">
      <c r="B426" s="678"/>
      <c r="C426" s="678"/>
      <c r="D426" s="727"/>
      <c r="F426" s="678"/>
      <c r="G426" s="727"/>
    </row>
    <row r="427" spans="2:9">
      <c r="B427" s="678"/>
      <c r="C427" s="678"/>
      <c r="D427" s="727"/>
      <c r="F427" s="678"/>
      <c r="G427" s="727"/>
    </row>
    <row r="428" spans="2:9">
      <c r="B428" s="678"/>
      <c r="C428" s="678"/>
      <c r="D428" s="727"/>
      <c r="F428" s="678"/>
      <c r="G428" s="727"/>
    </row>
    <row r="430" spans="2:9">
      <c r="B430" s="727"/>
      <c r="C430" s="727"/>
      <c r="F430" s="727"/>
    </row>
    <row r="431" spans="2:9">
      <c r="B431" s="678"/>
      <c r="C431" s="678"/>
      <c r="D431" s="727"/>
      <c r="F431" s="678"/>
      <c r="G431" s="727"/>
    </row>
    <row r="432" spans="2:9">
      <c r="B432" s="678"/>
      <c r="C432" s="678"/>
      <c r="D432" s="727"/>
      <c r="F432" s="678"/>
      <c r="G432" s="727"/>
    </row>
    <row r="433" spans="1:9">
      <c r="B433" s="678"/>
      <c r="C433" s="678"/>
      <c r="D433" s="727"/>
      <c r="F433" s="678"/>
      <c r="G433" s="727"/>
    </row>
    <row r="435" spans="1:9">
      <c r="B435" s="732"/>
      <c r="C435" s="732"/>
      <c r="D435" s="732"/>
      <c r="E435" s="732"/>
      <c r="F435" s="732"/>
      <c r="G435" s="732"/>
      <c r="H435" s="733"/>
      <c r="I435" s="728"/>
    </row>
    <row r="437" spans="1:9" ht="14">
      <c r="B437" s="731"/>
      <c r="C437" s="731"/>
      <c r="D437" s="707"/>
      <c r="E437" s="705"/>
      <c r="F437" s="717"/>
      <c r="G437" s="678"/>
      <c r="H437" s="687"/>
    </row>
    <row r="438" spans="1:9">
      <c r="B438" s="687"/>
      <c r="C438" s="687"/>
      <c r="D438" s="695"/>
      <c r="E438" s="695"/>
      <c r="F438" s="695"/>
      <c r="G438" s="678"/>
      <c r="H438" s="690"/>
      <c r="I438" s="661"/>
    </row>
    <row r="439" spans="1:9">
      <c r="B439" s="666"/>
      <c r="C439" s="666"/>
      <c r="D439" s="666"/>
      <c r="E439" s="692"/>
      <c r="F439" s="692"/>
      <c r="G439" s="661"/>
      <c r="H439" s="692"/>
      <c r="I439" s="661"/>
    </row>
    <row r="440" spans="1:9">
      <c r="B440" s="690"/>
      <c r="C440" s="690"/>
      <c r="D440" s="710"/>
      <c r="E440" s="695"/>
      <c r="F440" s="695"/>
      <c r="G440" s="695"/>
      <c r="H440" s="695"/>
      <c r="I440" s="661"/>
    </row>
    <row r="441" spans="1:9">
      <c r="B441" s="690"/>
      <c r="C441" s="690"/>
      <c r="D441" s="710"/>
      <c r="E441" s="695"/>
      <c r="F441" s="695"/>
      <c r="G441" s="695"/>
      <c r="H441" s="695"/>
      <c r="I441" s="661"/>
    </row>
    <row r="442" spans="1:9">
      <c r="B442" s="690"/>
      <c r="C442" s="690"/>
      <c r="D442" s="710"/>
      <c r="E442" s="695"/>
      <c r="F442" s="695"/>
      <c r="G442" s="695"/>
      <c r="H442" s="695"/>
      <c r="I442" s="661"/>
    </row>
    <row r="443" spans="1:9">
      <c r="B443" s="666"/>
      <c r="C443" s="666"/>
      <c r="D443" s="666"/>
      <c r="E443" s="692"/>
      <c r="F443" s="692"/>
      <c r="G443" s="678"/>
      <c r="H443" s="690"/>
    </row>
    <row r="444" spans="1:9">
      <c r="B444" s="687"/>
      <c r="C444" s="687"/>
      <c r="D444" s="687"/>
      <c r="E444" s="708"/>
      <c r="F444" s="708"/>
      <c r="G444" s="727"/>
      <c r="H444" s="687"/>
    </row>
    <row r="445" spans="1:9">
      <c r="B445" s="687"/>
      <c r="C445" s="687"/>
      <c r="D445" s="687"/>
      <c r="E445" s="708"/>
      <c r="F445" s="708"/>
      <c r="G445" s="727"/>
      <c r="H445" s="687"/>
    </row>
    <row r="447" spans="1:9" ht="14">
      <c r="A447" s="719"/>
      <c r="D447" s="661"/>
      <c r="E447" s="661"/>
      <c r="F447" s="661"/>
      <c r="G447" s="661"/>
    </row>
    <row r="448" spans="1:9" ht="14">
      <c r="A448" s="645"/>
      <c r="B448" s="720"/>
      <c r="C448" s="720"/>
      <c r="D448" s="678"/>
      <c r="E448" s="687"/>
      <c r="F448" s="678"/>
      <c r="G448" s="687"/>
    </row>
    <row r="449" spans="1:8">
      <c r="D449" s="678"/>
      <c r="E449" s="687"/>
      <c r="F449" s="678"/>
      <c r="G449" s="687"/>
    </row>
    <row r="450" spans="1:8">
      <c r="D450" s="678"/>
      <c r="E450" s="687"/>
      <c r="F450" s="678"/>
      <c r="G450" s="687"/>
    </row>
    <row r="451" spans="1:8">
      <c r="D451" s="678"/>
      <c r="E451" s="687"/>
      <c r="F451" s="678"/>
      <c r="G451" s="687"/>
    </row>
    <row r="452" spans="1:8">
      <c r="D452" s="661"/>
      <c r="E452" s="661"/>
      <c r="F452" s="661"/>
      <c r="G452" s="661"/>
    </row>
    <row r="453" spans="1:8" ht="14">
      <c r="A453" s="719"/>
      <c r="B453" s="720"/>
      <c r="C453" s="720"/>
      <c r="D453" s="678"/>
      <c r="E453" s="687"/>
      <c r="F453" s="678"/>
      <c r="G453" s="687"/>
    </row>
    <row r="454" spans="1:8">
      <c r="D454" s="678"/>
      <c r="E454" s="687"/>
      <c r="F454" s="678"/>
      <c r="G454" s="687"/>
    </row>
    <row r="455" spans="1:8">
      <c r="D455" s="678"/>
      <c r="E455" s="687"/>
      <c r="F455" s="678"/>
      <c r="G455" s="687"/>
    </row>
    <row r="456" spans="1:8">
      <c r="A456" s="645"/>
      <c r="B456" s="697"/>
      <c r="C456" s="697"/>
      <c r="D456" s="697"/>
      <c r="E456" s="721"/>
      <c r="F456" s="697"/>
      <c r="G456" s="697"/>
      <c r="H456" s="697"/>
    </row>
    <row r="457" spans="1:8">
      <c r="B457" s="697"/>
      <c r="C457" s="697"/>
      <c r="D457" s="729"/>
      <c r="E457" s="666"/>
      <c r="F457" s="666"/>
      <c r="G457" s="666"/>
      <c r="H457" s="697"/>
    </row>
    <row r="458" spans="1:8">
      <c r="B458" s="697"/>
      <c r="C458" s="697"/>
      <c r="D458" s="697"/>
      <c r="E458" s="666"/>
      <c r="F458" s="666"/>
      <c r="G458" s="666"/>
      <c r="H458" s="697"/>
    </row>
    <row r="459" spans="1:8">
      <c r="B459" s="678"/>
      <c r="C459" s="678"/>
      <c r="D459" s="687"/>
      <c r="E459" s="678"/>
      <c r="F459" s="687"/>
      <c r="H459" s="727"/>
    </row>
    <row r="460" spans="1:8">
      <c r="E460" s="661"/>
      <c r="F460" s="661"/>
      <c r="G460" s="661"/>
      <c r="H460" s="727"/>
    </row>
    <row r="461" spans="1:8" ht="14">
      <c r="D461" s="720"/>
      <c r="E461" s="661"/>
      <c r="F461" s="661"/>
      <c r="G461" s="661"/>
      <c r="H461" s="727"/>
    </row>
    <row r="462" spans="1:8">
      <c r="B462" s="678"/>
      <c r="C462" s="678"/>
      <c r="D462" s="678"/>
      <c r="E462" s="666"/>
      <c r="F462" s="666"/>
      <c r="G462" s="666"/>
      <c r="H462" s="727"/>
    </row>
    <row r="463" spans="1:8">
      <c r="B463" s="678"/>
      <c r="C463" s="678"/>
      <c r="D463" s="678"/>
      <c r="E463" s="666"/>
      <c r="F463" s="666"/>
      <c r="G463" s="666"/>
      <c r="H463" s="727"/>
    </row>
    <row r="464" spans="1:8">
      <c r="B464" s="678"/>
      <c r="C464" s="678"/>
      <c r="D464" s="678"/>
      <c r="E464" s="666"/>
      <c r="F464" s="666"/>
      <c r="G464" s="666"/>
      <c r="H464" s="697"/>
    </row>
    <row r="465" spans="2:9">
      <c r="B465" s="678"/>
      <c r="C465" s="678"/>
      <c r="D465" s="678"/>
      <c r="E465" s="666"/>
      <c r="F465" s="666"/>
      <c r="G465" s="666"/>
      <c r="H465" s="687"/>
    </row>
    <row r="466" spans="2:9">
      <c r="B466" s="678"/>
      <c r="C466" s="678"/>
      <c r="D466" s="678"/>
      <c r="E466" s="666"/>
      <c r="F466" s="666"/>
      <c r="G466" s="666"/>
      <c r="H466" s="697"/>
    </row>
    <row r="467" spans="2:9">
      <c r="B467" s="678"/>
      <c r="C467" s="678"/>
      <c r="D467" s="678"/>
      <c r="E467" s="666"/>
      <c r="F467" s="666"/>
      <c r="G467" s="666"/>
      <c r="H467" s="727"/>
    </row>
    <row r="468" spans="2:9">
      <c r="B468" s="678"/>
      <c r="C468" s="678"/>
      <c r="D468" s="678"/>
      <c r="E468" s="666"/>
      <c r="F468" s="666"/>
      <c r="G468" s="666"/>
      <c r="H468" s="727"/>
    </row>
    <row r="469" spans="2:9">
      <c r="B469" s="678"/>
      <c r="C469" s="678"/>
      <c r="D469" s="678"/>
      <c r="E469" s="666"/>
      <c r="F469" s="666"/>
      <c r="G469" s="666"/>
      <c r="H469" s="727"/>
    </row>
    <row r="470" spans="2:9">
      <c r="B470" s="678"/>
      <c r="C470" s="678"/>
      <c r="D470" s="678"/>
      <c r="E470" s="666"/>
      <c r="F470" s="666"/>
      <c r="G470" s="666"/>
      <c r="H470" s="697"/>
    </row>
    <row r="471" spans="2:9">
      <c r="B471" s="678"/>
      <c r="C471" s="678"/>
      <c r="D471" s="678"/>
      <c r="E471" s="666"/>
      <c r="F471" s="666"/>
      <c r="G471" s="666"/>
      <c r="H471" s="687"/>
    </row>
    <row r="472" spans="2:9">
      <c r="B472" s="678"/>
      <c r="C472" s="678"/>
      <c r="D472" s="678"/>
      <c r="E472" s="666"/>
      <c r="F472" s="666"/>
      <c r="G472" s="666"/>
      <c r="H472" s="697"/>
    </row>
    <row r="473" spans="2:9">
      <c r="B473" s="678"/>
      <c r="C473" s="678"/>
      <c r="D473" s="678"/>
      <c r="E473" s="666"/>
      <c r="F473" s="666"/>
      <c r="G473" s="666"/>
      <c r="H473" s="727"/>
    </row>
    <row r="474" spans="2:9">
      <c r="B474" s="678"/>
      <c r="C474" s="678"/>
      <c r="D474" s="678"/>
      <c r="E474" s="669"/>
      <c r="F474" s="669"/>
      <c r="G474" s="669"/>
      <c r="H474" s="697"/>
      <c r="I474" s="671"/>
    </row>
    <row r="475" spans="2:9">
      <c r="B475" s="678"/>
      <c r="C475" s="678"/>
      <c r="D475" s="678"/>
      <c r="E475" s="666"/>
      <c r="F475" s="666"/>
      <c r="G475" s="666"/>
      <c r="H475" s="687"/>
      <c r="I475" s="671"/>
    </row>
    <row r="476" spans="2:9">
      <c r="B476" s="678"/>
      <c r="C476" s="678"/>
      <c r="D476" s="678"/>
      <c r="E476" s="669"/>
      <c r="F476" s="669"/>
      <c r="G476" s="669"/>
      <c r="H476" s="697"/>
      <c r="I476" s="730"/>
    </row>
    <row r="477" spans="2:9">
      <c r="B477" s="678"/>
      <c r="C477" s="678"/>
      <c r="D477" s="678"/>
      <c r="E477" s="669"/>
      <c r="F477" s="669"/>
      <c r="G477" s="669"/>
      <c r="H477" s="697"/>
      <c r="I477" s="730"/>
    </row>
    <row r="478" spans="2:9">
      <c r="B478" s="678"/>
      <c r="C478" s="678"/>
      <c r="D478" s="678"/>
      <c r="F478" s="661"/>
      <c r="H478" s="697"/>
      <c r="I478" s="730"/>
    </row>
    <row r="479" spans="2:9">
      <c r="B479" s="678"/>
      <c r="C479" s="678"/>
      <c r="D479" s="678"/>
      <c r="F479" s="692"/>
      <c r="H479" s="697"/>
      <c r="I479" s="730"/>
    </row>
    <row r="480" spans="2:9">
      <c r="B480" s="678"/>
      <c r="C480" s="678"/>
      <c r="D480" s="678"/>
      <c r="F480" s="692"/>
      <c r="G480" s="721"/>
      <c r="H480" s="697"/>
      <c r="I480" s="730"/>
    </row>
    <row r="481" spans="2:9">
      <c r="E481" s="661"/>
      <c r="F481" s="661"/>
      <c r="G481" s="661"/>
      <c r="H481" s="727"/>
    </row>
    <row r="482" spans="2:9" ht="14">
      <c r="D482" s="720"/>
      <c r="E482" s="661"/>
      <c r="F482" s="661"/>
      <c r="G482" s="661"/>
      <c r="H482" s="727"/>
    </row>
    <row r="483" spans="2:9">
      <c r="B483" s="678"/>
      <c r="C483" s="678"/>
      <c r="D483" s="678"/>
      <c r="E483" s="669"/>
      <c r="F483" s="669"/>
      <c r="G483" s="669"/>
      <c r="H483" s="697"/>
      <c r="I483" s="730"/>
    </row>
    <row r="484" spans="2:9">
      <c r="B484" s="678"/>
      <c r="C484" s="678"/>
      <c r="D484" s="678"/>
      <c r="E484" s="666"/>
      <c r="F484" s="666"/>
      <c r="G484" s="666"/>
      <c r="H484" s="697"/>
      <c r="I484" s="730"/>
    </row>
    <row r="485" spans="2:9">
      <c r="B485" s="678"/>
      <c r="C485" s="678"/>
      <c r="D485" s="678"/>
      <c r="E485" s="669"/>
      <c r="F485" s="669"/>
      <c r="G485" s="669"/>
      <c r="H485" s="697"/>
      <c r="I485" s="730"/>
    </row>
    <row r="486" spans="2:9">
      <c r="B486" s="678"/>
      <c r="C486" s="678"/>
      <c r="D486" s="678"/>
      <c r="E486" s="669"/>
      <c r="F486" s="669"/>
      <c r="G486" s="669"/>
      <c r="H486" s="697"/>
      <c r="I486" s="730"/>
    </row>
    <row r="487" spans="2:9">
      <c r="B487" s="678"/>
      <c r="C487" s="678"/>
      <c r="D487" s="678"/>
      <c r="E487" s="666"/>
      <c r="F487" s="666"/>
      <c r="G487" s="666"/>
      <c r="H487" s="697"/>
      <c r="I487" s="730"/>
    </row>
    <row r="488" spans="2:9">
      <c r="B488" s="678"/>
      <c r="C488" s="678"/>
      <c r="D488" s="678"/>
      <c r="E488" s="669"/>
      <c r="F488" s="669"/>
      <c r="G488" s="669"/>
      <c r="H488" s="697"/>
      <c r="I488" s="730"/>
    </row>
    <row r="489" spans="2:9">
      <c r="B489" s="678"/>
      <c r="C489" s="678"/>
      <c r="D489" s="678"/>
      <c r="E489" s="669"/>
      <c r="F489" s="669"/>
      <c r="G489" s="669"/>
      <c r="H489" s="697"/>
      <c r="I489" s="730"/>
    </row>
    <row r="490" spans="2:9">
      <c r="E490" s="661"/>
      <c r="F490" s="661"/>
      <c r="G490" s="661"/>
      <c r="I490" s="671"/>
    </row>
    <row r="491" spans="2:9" ht="14">
      <c r="D491" s="720"/>
      <c r="E491" s="661"/>
      <c r="F491" s="661"/>
      <c r="G491" s="661"/>
      <c r="H491" s="661"/>
      <c r="I491" s="671"/>
    </row>
    <row r="492" spans="2:9">
      <c r="B492" s="678"/>
      <c r="C492" s="678"/>
      <c r="D492" s="678"/>
      <c r="E492" s="692"/>
      <c r="F492" s="692"/>
      <c r="G492" s="692"/>
      <c r="H492" s="669"/>
      <c r="I492" s="671"/>
    </row>
    <row r="493" spans="2:9">
      <c r="B493" s="678"/>
      <c r="C493" s="678"/>
      <c r="D493" s="678"/>
      <c r="E493" s="692"/>
      <c r="F493" s="692"/>
      <c r="G493" s="692"/>
      <c r="H493" s="669"/>
      <c r="I493" s="671"/>
    </row>
    <row r="494" spans="2:9">
      <c r="D494" s="678"/>
      <c r="E494" s="669"/>
      <c r="F494" s="669"/>
      <c r="G494" s="669"/>
      <c r="H494" s="669"/>
      <c r="I494" s="671"/>
    </row>
    <row r="495" spans="2:9">
      <c r="E495" s="661"/>
      <c r="F495" s="661"/>
      <c r="G495" s="661"/>
      <c r="H495" s="661"/>
    </row>
    <row r="496" spans="2:9">
      <c r="E496" s="661"/>
      <c r="F496" s="661"/>
      <c r="G496" s="661"/>
      <c r="H496" s="671"/>
    </row>
    <row r="497" spans="2:8">
      <c r="D497" s="678"/>
      <c r="E497" s="661"/>
      <c r="F497" s="661"/>
      <c r="G497" s="661"/>
      <c r="H497" s="671"/>
    </row>
    <row r="498" spans="2:8">
      <c r="B498" s="678"/>
      <c r="C498" s="678"/>
      <c r="D498" s="678"/>
      <c r="E498" s="692"/>
      <c r="F498" s="692"/>
      <c r="G498" s="692"/>
      <c r="H498" s="661"/>
    </row>
    <row r="499" spans="2:8">
      <c r="B499" s="678"/>
      <c r="C499" s="678"/>
      <c r="D499" s="678"/>
      <c r="E499" s="692"/>
      <c r="F499" s="692"/>
      <c r="G499" s="692"/>
    </row>
    <row r="500" spans="2:8">
      <c r="E500" s="661"/>
      <c r="F500" s="661"/>
      <c r="G500" s="661"/>
    </row>
    <row r="501" spans="2:8" ht="14">
      <c r="B501" s="726"/>
      <c r="C501" s="726"/>
      <c r="D501" s="727"/>
    </row>
    <row r="502" spans="2:8">
      <c r="B502" s="661"/>
      <c r="C502" s="661"/>
      <c r="D502" s="669"/>
      <c r="E502" s="666"/>
    </row>
    <row r="503" spans="2:8">
      <c r="B503" s="678"/>
      <c r="C503" s="678"/>
      <c r="D503" s="694"/>
      <c r="E503" s="710"/>
      <c r="F503" s="679"/>
    </row>
    <row r="504" spans="2:8">
      <c r="B504" s="678"/>
      <c r="C504" s="678"/>
      <c r="D504" s="694"/>
      <c r="E504" s="710"/>
      <c r="F504" s="679"/>
    </row>
    <row r="505" spans="2:8">
      <c r="B505" s="678"/>
      <c r="C505" s="678"/>
      <c r="D505" s="694"/>
      <c r="E505" s="710"/>
      <c r="F505" s="679"/>
    </row>
    <row r="506" spans="2:8">
      <c r="B506" s="661"/>
      <c r="C506" s="661"/>
      <c r="D506" s="669"/>
      <c r="E506" s="666"/>
      <c r="F506" s="669"/>
    </row>
  </sheetData>
  <sheetCalcPr fullCalcOnLoad="1"/>
  <mergeCells count="1">
    <mergeCell ref="F20:F22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3"/>
  <sheetViews>
    <sheetView workbookViewId="0">
      <selection activeCell="M2" sqref="M2:N6"/>
    </sheetView>
  </sheetViews>
  <sheetFormatPr baseColWidth="10" defaultRowHeight="26" customHeight="1"/>
  <cols>
    <col min="2" max="6" width="8.8984375" customWidth="1"/>
    <col min="7" max="7" width="4.5" customWidth="1"/>
    <col min="8" max="8" width="8.5" customWidth="1"/>
  </cols>
  <sheetData>
    <row r="1" spans="1:14" ht="26" customHeight="1">
      <c r="B1" s="2" t="s">
        <v>500</v>
      </c>
      <c r="C1" s="53">
        <v>15</v>
      </c>
    </row>
    <row r="2" spans="1:14" ht="26" customHeight="1">
      <c r="A2" s="4" t="s">
        <v>501</v>
      </c>
      <c r="B2" s="81">
        <v>1</v>
      </c>
      <c r="C2" s="81">
        <v>2</v>
      </c>
      <c r="D2" s="81">
        <v>3</v>
      </c>
      <c r="E2" s="81">
        <v>4</v>
      </c>
      <c r="F2" s="81">
        <v>5</v>
      </c>
      <c r="G2" s="7"/>
      <c r="H2" s="7"/>
      <c r="M2" s="82">
        <v>1</v>
      </c>
      <c r="N2" s="82">
        <v>325</v>
      </c>
    </row>
    <row r="3" spans="1:14" ht="26" customHeight="1">
      <c r="A3" s="54" t="s">
        <v>494</v>
      </c>
      <c r="B3" s="52">
        <v>325</v>
      </c>
      <c r="C3" s="52">
        <v>368</v>
      </c>
      <c r="D3" s="52">
        <v>382</v>
      </c>
      <c r="E3" s="52">
        <v>425</v>
      </c>
      <c r="F3" s="52">
        <v>460</v>
      </c>
      <c r="M3" s="82">
        <v>2</v>
      </c>
      <c r="N3" s="82">
        <v>368</v>
      </c>
    </row>
    <row r="4" spans="1:14" ht="26" customHeight="1">
      <c r="A4" s="54" t="s">
        <v>495</v>
      </c>
      <c r="B4" s="55">
        <f>B3*$C$1</f>
        <v>4875</v>
      </c>
      <c r="C4" s="55">
        <f t="shared" ref="C4:F4" si="0">C3*$C$1</f>
        <v>5520</v>
      </c>
      <c r="D4" s="55">
        <f t="shared" si="0"/>
        <v>5730</v>
      </c>
      <c r="E4" s="55">
        <f t="shared" si="0"/>
        <v>6375</v>
      </c>
      <c r="F4" s="55">
        <f t="shared" si="0"/>
        <v>6900</v>
      </c>
      <c r="G4" s="2" t="s">
        <v>496</v>
      </c>
      <c r="H4" s="61">
        <f>SUM(B4:F4)</f>
        <v>29400</v>
      </c>
      <c r="M4" s="82">
        <v>3</v>
      </c>
      <c r="N4" s="82">
        <v>382</v>
      </c>
    </row>
    <row r="5" spans="1:14" ht="26" customHeight="1">
      <c r="G5" s="2" t="s">
        <v>497</v>
      </c>
      <c r="H5" s="62">
        <f>C1*5</f>
        <v>75</v>
      </c>
      <c r="M5" s="82">
        <v>4</v>
      </c>
      <c r="N5" s="82">
        <v>425</v>
      </c>
    </row>
    <row r="6" spans="1:14" ht="26" customHeight="1">
      <c r="M6" s="82">
        <v>5</v>
      </c>
      <c r="N6" s="82">
        <v>460</v>
      </c>
    </row>
    <row r="9" spans="1:14" ht="26" customHeight="1">
      <c r="A9" s="1"/>
      <c r="B9" s="18" t="s">
        <v>397</v>
      </c>
      <c r="C9" s="33" t="s">
        <v>672</v>
      </c>
      <c r="D9" s="32">
        <v>0.05</v>
      </c>
      <c r="E9" s="1"/>
      <c r="F9" s="1"/>
      <c r="G9" s="1"/>
      <c r="H9" s="1"/>
      <c r="I9" s="1"/>
      <c r="J9" s="1"/>
      <c r="K9" s="1"/>
      <c r="L9" s="1"/>
    </row>
    <row r="10" spans="1:14" ht="26" customHeight="1">
      <c r="A10" s="1"/>
      <c r="B10" s="20" t="s">
        <v>398</v>
      </c>
      <c r="C10" s="15" t="s">
        <v>118</v>
      </c>
      <c r="D10" s="60" t="s">
        <v>117</v>
      </c>
      <c r="E10" s="60" t="s">
        <v>682</v>
      </c>
      <c r="F10" s="60" t="s">
        <v>119</v>
      </c>
      <c r="G10" s="875" t="s">
        <v>120</v>
      </c>
      <c r="H10" s="875"/>
      <c r="I10" s="27"/>
      <c r="J10" s="34" t="s">
        <v>627</v>
      </c>
      <c r="L10" s="6">
        <v>0.95</v>
      </c>
    </row>
    <row r="11" spans="1:14" ht="26" customHeight="1">
      <c r="B11" s="39" t="s">
        <v>673</v>
      </c>
      <c r="C11" s="56">
        <v>4</v>
      </c>
      <c r="D11" s="30">
        <f>SUMSQ(B4:F4)/C1-H4^2/H5</f>
        <v>163170</v>
      </c>
      <c r="E11" s="67">
        <f>D11/C11</f>
        <v>40792.5</v>
      </c>
      <c r="F11" s="35">
        <f>E11/E12</f>
        <v>40.792499999999997</v>
      </c>
      <c r="G11" s="876">
        <f>FINV(D9,C11,C12)</f>
        <v>2.5026564634612409</v>
      </c>
      <c r="H11" s="876"/>
      <c r="I11" s="35"/>
      <c r="J11" s="9" t="s">
        <v>244</v>
      </c>
      <c r="K11" s="34">
        <f>SQRT(E12/C1)</f>
        <v>8.1649658092772608</v>
      </c>
    </row>
    <row r="12" spans="1:14" ht="26" customHeight="1">
      <c r="B12" s="39" t="s">
        <v>393</v>
      </c>
      <c r="C12" s="57">
        <f>5*(C1-1)</f>
        <v>70</v>
      </c>
      <c r="D12" s="30">
        <f>E12*C12</f>
        <v>70000</v>
      </c>
      <c r="E12" s="67">
        <v>1000</v>
      </c>
      <c r="F12" s="35"/>
      <c r="G12" s="35"/>
      <c r="H12" s="35"/>
      <c r="I12" s="35"/>
      <c r="J12" s="2" t="s">
        <v>231</v>
      </c>
      <c r="K12" s="34">
        <f>TINV(1-L10,C12)</f>
        <v>1.9944370858696794</v>
      </c>
    </row>
    <row r="13" spans="1:14" ht="26" customHeight="1">
      <c r="J13" s="2" t="s">
        <v>628</v>
      </c>
      <c r="K13" s="34">
        <f>K11*K12</f>
        <v>16.28451061488051</v>
      </c>
    </row>
    <row r="15" spans="1:14" ht="26" customHeight="1">
      <c r="A15" s="54" t="s">
        <v>494</v>
      </c>
      <c r="B15" s="63">
        <f>B3</f>
        <v>325</v>
      </c>
      <c r="C15" s="63">
        <f t="shared" ref="C15:F15" si="1">C3</f>
        <v>368</v>
      </c>
      <c r="D15" s="63">
        <f t="shared" si="1"/>
        <v>382</v>
      </c>
      <c r="E15" s="63">
        <f t="shared" si="1"/>
        <v>425</v>
      </c>
      <c r="F15" s="63">
        <f t="shared" si="1"/>
        <v>460</v>
      </c>
    </row>
    <row r="16" spans="1:14" ht="26" customHeight="1">
      <c r="A16" s="54" t="s">
        <v>629</v>
      </c>
      <c r="B16" s="51">
        <f>B2-AVERAGE($B$2:$F$2)</f>
        <v>-2</v>
      </c>
      <c r="C16" s="51">
        <f t="shared" ref="C16:F16" si="2">C2-AVERAGE($B$2:$F$2)</f>
        <v>-1</v>
      </c>
      <c r="D16" s="51">
        <f t="shared" si="2"/>
        <v>0</v>
      </c>
      <c r="E16" s="51">
        <f t="shared" si="2"/>
        <v>1</v>
      </c>
      <c r="F16" s="51">
        <f t="shared" si="2"/>
        <v>2</v>
      </c>
    </row>
    <row r="18" spans="2:10" ht="26" customHeight="1">
      <c r="B18" s="18" t="s">
        <v>397</v>
      </c>
      <c r="C18" s="33" t="s">
        <v>672</v>
      </c>
      <c r="D18" s="32">
        <v>0.05</v>
      </c>
      <c r="E18" s="1"/>
      <c r="F18" s="1"/>
      <c r="G18" s="1"/>
      <c r="H18" s="1"/>
    </row>
    <row r="19" spans="2:10" ht="26" customHeight="1">
      <c r="B19" s="20" t="s">
        <v>398</v>
      </c>
      <c r="C19" s="15" t="s">
        <v>118</v>
      </c>
      <c r="D19" s="60" t="s">
        <v>117</v>
      </c>
      <c r="E19" s="60" t="s">
        <v>682</v>
      </c>
      <c r="F19" s="65" t="s">
        <v>630</v>
      </c>
      <c r="G19" s="877" t="s">
        <v>119</v>
      </c>
      <c r="H19" s="877"/>
      <c r="I19" s="15" t="s">
        <v>120</v>
      </c>
      <c r="J19" s="15"/>
    </row>
    <row r="20" spans="2:10" ht="26" customHeight="1">
      <c r="B20" s="18" t="s">
        <v>673</v>
      </c>
      <c r="C20" s="66">
        <f>C11</f>
        <v>4</v>
      </c>
      <c r="D20" s="30">
        <f>D11</f>
        <v>163170</v>
      </c>
      <c r="E20" s="35"/>
      <c r="F20" s="35"/>
      <c r="G20" s="876"/>
      <c r="H20" s="876"/>
    </row>
    <row r="21" spans="2:10" ht="26" customHeight="1">
      <c r="B21" s="39" t="s">
        <v>631</v>
      </c>
      <c r="C21" s="58">
        <v>1</v>
      </c>
      <c r="D21" s="31">
        <f>(C1*SUMPRODUCT(B15:F15,B16:F16)^2)/SUMSQ(B16:F16)</f>
        <v>160393.5</v>
      </c>
      <c r="E21" s="70">
        <f>D21/C21</f>
        <v>160393.5</v>
      </c>
      <c r="F21" s="71">
        <f>D21/D20</f>
        <v>0.98298400441257583</v>
      </c>
      <c r="G21" s="874">
        <f>E21/E23</f>
        <v>160.39349999999999</v>
      </c>
      <c r="H21" s="874"/>
      <c r="I21" s="2">
        <f>FINV($D$18,C21,$C$23)</f>
        <v>3.9777792894923394</v>
      </c>
    </row>
    <row r="22" spans="2:10" ht="26" customHeight="1">
      <c r="B22" s="64" t="s">
        <v>632</v>
      </c>
      <c r="C22" s="59">
        <f>C20-C21</f>
        <v>3</v>
      </c>
      <c r="D22" s="31">
        <f>D20-D21</f>
        <v>2776.5</v>
      </c>
      <c r="E22" s="70">
        <f>D22/C22</f>
        <v>925.5</v>
      </c>
      <c r="F22" s="71">
        <f>D22/D20</f>
        <v>1.701599558742416E-2</v>
      </c>
      <c r="G22" s="874">
        <f>E22/E23</f>
        <v>0.92549999999999999</v>
      </c>
      <c r="H22" s="874"/>
      <c r="I22" s="2">
        <f>FINV($D$18,C22,$C$23)</f>
        <v>2.7355414765138706</v>
      </c>
    </row>
    <row r="23" spans="2:10" ht="26" customHeight="1">
      <c r="B23" s="18" t="s">
        <v>393</v>
      </c>
      <c r="C23" s="66">
        <f>C12</f>
        <v>70</v>
      </c>
      <c r="D23" s="68">
        <f>D12</f>
        <v>70000</v>
      </c>
      <c r="E23" s="69">
        <f>D23/C23</f>
        <v>1000</v>
      </c>
    </row>
  </sheetData>
  <sheetCalcPr fullCalcOnLoad="1"/>
  <mergeCells count="6">
    <mergeCell ref="G22:H22"/>
    <mergeCell ref="G10:H10"/>
    <mergeCell ref="G11:H11"/>
    <mergeCell ref="G20:H20"/>
    <mergeCell ref="G19:H19"/>
    <mergeCell ref="G21:H21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8"/>
  <sheetViews>
    <sheetView workbookViewId="0">
      <selection activeCell="M2" sqref="M2:N6"/>
    </sheetView>
  </sheetViews>
  <sheetFormatPr baseColWidth="10" defaultRowHeight="26" customHeight="1"/>
  <cols>
    <col min="2" max="6" width="12.8984375" customWidth="1"/>
    <col min="7" max="7" width="4.5" customWidth="1"/>
    <col min="8" max="8" width="8.5" customWidth="1"/>
  </cols>
  <sheetData>
    <row r="1" spans="1:14" ht="26" customHeight="1">
      <c r="B1" s="2" t="s">
        <v>500</v>
      </c>
      <c r="C1" s="53">
        <v>10</v>
      </c>
    </row>
    <row r="2" spans="1:14" ht="26" customHeight="1">
      <c r="A2" s="2"/>
      <c r="B2" s="81" t="s">
        <v>633</v>
      </c>
      <c r="C2" s="81" t="s">
        <v>242</v>
      </c>
      <c r="D2" s="81" t="s">
        <v>137</v>
      </c>
      <c r="E2" s="81" t="s">
        <v>138</v>
      </c>
      <c r="F2" s="81" t="s">
        <v>31</v>
      </c>
      <c r="G2" s="7"/>
      <c r="H2" s="7"/>
      <c r="M2" s="82" t="s">
        <v>633</v>
      </c>
      <c r="N2" s="83">
        <v>1.8</v>
      </c>
    </row>
    <row r="3" spans="1:14" ht="26" customHeight="1">
      <c r="A3" s="54" t="s">
        <v>494</v>
      </c>
      <c r="B3" s="74">
        <v>1.8</v>
      </c>
      <c r="C3" s="74">
        <v>3.5</v>
      </c>
      <c r="D3" s="74">
        <v>3.7</v>
      </c>
      <c r="E3" s="74">
        <v>2.4</v>
      </c>
      <c r="F3" s="74">
        <v>2.8</v>
      </c>
      <c r="M3" s="82" t="s">
        <v>242</v>
      </c>
      <c r="N3" s="83">
        <v>3.5</v>
      </c>
    </row>
    <row r="4" spans="1:14" ht="26" customHeight="1">
      <c r="A4" s="54" t="s">
        <v>495</v>
      </c>
      <c r="B4" s="55">
        <f>B3*$C$1</f>
        <v>18</v>
      </c>
      <c r="C4" s="55">
        <f t="shared" ref="C4:F4" si="0">C3*$C$1</f>
        <v>35</v>
      </c>
      <c r="D4" s="55">
        <f t="shared" si="0"/>
        <v>37</v>
      </c>
      <c r="E4" s="55">
        <f t="shared" si="0"/>
        <v>24</v>
      </c>
      <c r="F4" s="55">
        <f t="shared" si="0"/>
        <v>28</v>
      </c>
      <c r="G4" s="2" t="s">
        <v>496</v>
      </c>
      <c r="H4" s="61">
        <f>SUM(B4:F4)</f>
        <v>142</v>
      </c>
      <c r="M4" s="82" t="s">
        <v>137</v>
      </c>
      <c r="N4" s="83">
        <v>3.7</v>
      </c>
    </row>
    <row r="5" spans="1:14" ht="26" customHeight="1">
      <c r="G5" s="2" t="s">
        <v>497</v>
      </c>
      <c r="H5" s="62">
        <f>C1*5</f>
        <v>50</v>
      </c>
      <c r="M5" s="82" t="s">
        <v>138</v>
      </c>
      <c r="N5" s="83">
        <v>2.4</v>
      </c>
    </row>
    <row r="6" spans="1:14" ht="26" customHeight="1">
      <c r="M6" s="82" t="s">
        <v>31</v>
      </c>
      <c r="N6" s="83">
        <v>2.8</v>
      </c>
    </row>
    <row r="9" spans="1:14" ht="26" customHeight="1">
      <c r="A9" s="1"/>
      <c r="B9" s="18" t="s">
        <v>397</v>
      </c>
      <c r="C9" s="33" t="s">
        <v>672</v>
      </c>
      <c r="D9" s="32">
        <v>0.05</v>
      </c>
      <c r="E9" s="1"/>
      <c r="F9" s="1"/>
      <c r="G9" s="1"/>
      <c r="H9" s="1"/>
      <c r="I9" s="1"/>
      <c r="J9" s="1"/>
      <c r="K9" s="1"/>
      <c r="L9" s="1"/>
    </row>
    <row r="10" spans="1:14" ht="26" customHeight="1">
      <c r="A10" s="1"/>
      <c r="B10" s="20" t="s">
        <v>398</v>
      </c>
      <c r="C10" s="15" t="s">
        <v>118</v>
      </c>
      <c r="D10" s="60" t="s">
        <v>117</v>
      </c>
      <c r="E10" s="60" t="s">
        <v>682</v>
      </c>
      <c r="F10" s="60" t="s">
        <v>119</v>
      </c>
      <c r="G10" s="875" t="s">
        <v>120</v>
      </c>
      <c r="H10" s="875"/>
      <c r="I10" s="27"/>
      <c r="J10" s="34" t="s">
        <v>627</v>
      </c>
      <c r="L10" s="6">
        <v>0.95</v>
      </c>
    </row>
    <row r="11" spans="1:14" ht="26" customHeight="1">
      <c r="B11" s="39" t="s">
        <v>673</v>
      </c>
      <c r="C11" s="56">
        <v>4</v>
      </c>
      <c r="D11" s="73">
        <f>SUMSQ(B4:F4)/C1-H4^2/H5</f>
        <v>24.520000000000039</v>
      </c>
      <c r="E11" s="67">
        <f>D11/C11</f>
        <v>6.1300000000000097</v>
      </c>
      <c r="F11" s="35">
        <f>E11/E12</f>
        <v>12.260000000000019</v>
      </c>
      <c r="G11" s="876">
        <f>FINV(D9,C11,C12)</f>
        <v>2.5787391843767127</v>
      </c>
      <c r="H11" s="876"/>
      <c r="I11" s="35"/>
      <c r="J11" s="9" t="s">
        <v>244</v>
      </c>
      <c r="K11" s="34">
        <f>SQRT(E12/C1)</f>
        <v>0.22360679774997896</v>
      </c>
    </row>
    <row r="12" spans="1:14" ht="26" customHeight="1">
      <c r="B12" s="39" t="s">
        <v>393</v>
      </c>
      <c r="C12" s="57">
        <f>5*(C1-1)</f>
        <v>45</v>
      </c>
      <c r="D12" s="73">
        <v>22.5</v>
      </c>
      <c r="E12" s="67">
        <f>D12/C12</f>
        <v>0.5</v>
      </c>
      <c r="F12" s="35"/>
      <c r="G12" s="35"/>
      <c r="H12" s="35"/>
      <c r="I12" s="35"/>
      <c r="J12" s="2" t="s">
        <v>231</v>
      </c>
      <c r="K12" s="34">
        <f>TINV(1-L10,C12)</f>
        <v>2.0141033592669686</v>
      </c>
    </row>
    <row r="13" spans="1:14" ht="26" customHeight="1">
      <c r="J13" s="2" t="s">
        <v>628</v>
      </c>
      <c r="K13" s="34">
        <f>K11*K12</f>
        <v>0.45036720250316226</v>
      </c>
    </row>
    <row r="14" spans="1:14" ht="26" customHeight="1">
      <c r="A14" t="s">
        <v>32</v>
      </c>
      <c r="B14" s="52" t="s">
        <v>633</v>
      </c>
      <c r="C14" s="52" t="s">
        <v>242</v>
      </c>
      <c r="D14" s="52" t="s">
        <v>137</v>
      </c>
      <c r="E14" s="52" t="s">
        <v>138</v>
      </c>
      <c r="F14" s="52" t="s">
        <v>31</v>
      </c>
    </row>
    <row r="15" spans="1:14" ht="26" customHeight="1">
      <c r="A15" s="54" t="s">
        <v>494</v>
      </c>
      <c r="B15" s="74">
        <f>B3</f>
        <v>1.8</v>
      </c>
      <c r="C15" s="74">
        <f t="shared" ref="C15:F15" si="1">C3</f>
        <v>3.5</v>
      </c>
      <c r="D15" s="74">
        <f t="shared" si="1"/>
        <v>3.7</v>
      </c>
      <c r="E15" s="74">
        <f t="shared" si="1"/>
        <v>2.4</v>
      </c>
      <c r="F15" s="74">
        <f t="shared" si="1"/>
        <v>2.8</v>
      </c>
    </row>
    <row r="16" spans="1:14" ht="26" customHeight="1">
      <c r="A16" s="54" t="s">
        <v>629</v>
      </c>
      <c r="B16" s="72">
        <v>-4</v>
      </c>
      <c r="C16" s="72">
        <v>1</v>
      </c>
      <c r="D16" s="72">
        <v>1</v>
      </c>
      <c r="E16" s="72">
        <v>1</v>
      </c>
      <c r="F16" s="72">
        <v>1</v>
      </c>
    </row>
    <row r="18" spans="1:10" ht="26" customHeight="1">
      <c r="A18" t="s">
        <v>181</v>
      </c>
      <c r="B18" s="52" t="s">
        <v>633</v>
      </c>
      <c r="C18" s="52" t="s">
        <v>242</v>
      </c>
      <c r="D18" s="52" t="s">
        <v>137</v>
      </c>
      <c r="E18" s="52" t="s">
        <v>138</v>
      </c>
      <c r="F18" s="52" t="s">
        <v>31</v>
      </c>
    </row>
    <row r="19" spans="1:10" ht="26" customHeight="1">
      <c r="A19" s="54" t="s">
        <v>494</v>
      </c>
      <c r="B19" s="74">
        <f>B3</f>
        <v>1.8</v>
      </c>
      <c r="C19" s="74">
        <f t="shared" ref="C19:F19" si="2">C3</f>
        <v>3.5</v>
      </c>
      <c r="D19" s="74">
        <f t="shared" si="2"/>
        <v>3.7</v>
      </c>
      <c r="E19" s="74">
        <f t="shared" si="2"/>
        <v>2.4</v>
      </c>
      <c r="F19" s="74">
        <f t="shared" si="2"/>
        <v>2.8</v>
      </c>
    </row>
    <row r="20" spans="1:10" ht="26" customHeight="1">
      <c r="A20" s="54" t="s">
        <v>629</v>
      </c>
      <c r="B20" s="63">
        <f>B8</f>
        <v>0</v>
      </c>
      <c r="C20" s="63">
        <v>1</v>
      </c>
      <c r="D20" s="63">
        <v>1</v>
      </c>
      <c r="E20" s="63">
        <v>-1</v>
      </c>
      <c r="F20" s="63">
        <v>-1</v>
      </c>
    </row>
    <row r="22" spans="1:10" ht="26" customHeight="1">
      <c r="B22" s="18" t="s">
        <v>397</v>
      </c>
      <c r="C22" s="33" t="s">
        <v>672</v>
      </c>
      <c r="D22" s="32">
        <v>0.05</v>
      </c>
      <c r="E22" s="1"/>
      <c r="F22" s="1"/>
      <c r="G22" s="1"/>
      <c r="H22" s="1"/>
    </row>
    <row r="23" spans="1:10" ht="26" customHeight="1">
      <c r="B23" s="20" t="s">
        <v>398</v>
      </c>
      <c r="C23" s="15" t="s">
        <v>118</v>
      </c>
      <c r="D23" s="60" t="s">
        <v>117</v>
      </c>
      <c r="E23" s="60" t="s">
        <v>682</v>
      </c>
      <c r="F23" s="65" t="s">
        <v>630</v>
      </c>
      <c r="G23" s="877" t="s">
        <v>119</v>
      </c>
      <c r="H23" s="877"/>
      <c r="I23" s="15" t="s">
        <v>120</v>
      </c>
      <c r="J23" s="15"/>
    </row>
    <row r="24" spans="1:10" ht="26" customHeight="1">
      <c r="B24" s="18" t="s">
        <v>673</v>
      </c>
      <c r="C24" s="66">
        <f>C11</f>
        <v>4</v>
      </c>
      <c r="D24" s="75">
        <f>D11</f>
        <v>24.520000000000039</v>
      </c>
      <c r="E24" s="76"/>
      <c r="F24" s="35"/>
      <c r="G24" s="876"/>
      <c r="H24" s="876"/>
    </row>
    <row r="25" spans="1:10" ht="26" customHeight="1">
      <c r="B25" s="39" t="s">
        <v>179</v>
      </c>
      <c r="C25" s="58">
        <v>1</v>
      </c>
      <c r="D25" s="77">
        <f>(C1*SUMPRODUCT(B15:F15,B16:F16)^2)/SUMSQ(B16:F16)</f>
        <v>13.519999999999996</v>
      </c>
      <c r="E25" s="78">
        <f>D25/C25</f>
        <v>13.519999999999996</v>
      </c>
      <c r="F25" s="71">
        <f>D25/D24</f>
        <v>0.55138662316476239</v>
      </c>
      <c r="G25" s="874">
        <f>E25/E28</f>
        <v>27.039999999999992</v>
      </c>
      <c r="H25" s="874"/>
      <c r="I25" s="2">
        <f>FINV($D$22,C25,$C$28)</f>
        <v>4.0566123418104887</v>
      </c>
    </row>
    <row r="26" spans="1:10" ht="26" customHeight="1">
      <c r="B26" s="39" t="s">
        <v>180</v>
      </c>
      <c r="C26" s="58">
        <v>1</v>
      </c>
      <c r="D26" s="77">
        <f>(C1*SUMPRODUCT(B19:F19,B20:F20)^2)/SUMSQ(B20:F20)</f>
        <v>10.000000000000009</v>
      </c>
      <c r="E26" s="78">
        <f>D26/C26</f>
        <v>10.000000000000009</v>
      </c>
      <c r="F26" s="71">
        <f>D26/D24</f>
        <v>0.40783034257748746</v>
      </c>
      <c r="G26" s="37"/>
      <c r="H26" s="37">
        <f>E26/E28</f>
        <v>20.000000000000018</v>
      </c>
      <c r="I26" s="2">
        <f>FINV($D$22,C26,$C$28)</f>
        <v>4.0566123418104887</v>
      </c>
    </row>
    <row r="27" spans="1:10" ht="26" customHeight="1">
      <c r="B27" s="64" t="s">
        <v>632</v>
      </c>
      <c r="C27" s="59">
        <f>C24-(C25+C26)</f>
        <v>2</v>
      </c>
      <c r="D27" s="79">
        <f>D24-(D25+D26)</f>
        <v>1.0000000000000355</v>
      </c>
      <c r="E27" s="78">
        <f>D27/C27</f>
        <v>0.50000000000001776</v>
      </c>
      <c r="F27" s="71">
        <f>D27/D24</f>
        <v>4.0783034257750164E-2</v>
      </c>
      <c r="G27" s="874">
        <f>E27/E28</f>
        <v>1.0000000000000355</v>
      </c>
      <c r="H27" s="874"/>
      <c r="I27" s="2">
        <f>FINV($D$22,C27,$C$28)</f>
        <v>3.2043172921638767</v>
      </c>
    </row>
    <row r="28" spans="1:10" ht="26" customHeight="1">
      <c r="B28" s="18" t="s">
        <v>393</v>
      </c>
      <c r="C28" s="66">
        <f>C12</f>
        <v>45</v>
      </c>
      <c r="D28" s="80">
        <f>D12</f>
        <v>22.5</v>
      </c>
      <c r="E28" s="76">
        <f>D28/C28</f>
        <v>0.5</v>
      </c>
    </row>
  </sheetData>
  <sheetCalcPr fullCalcOnLoad="1"/>
  <mergeCells count="6">
    <mergeCell ref="G27:H27"/>
    <mergeCell ref="G10:H10"/>
    <mergeCell ref="G11:H11"/>
    <mergeCell ref="G23:H23"/>
    <mergeCell ref="G24:H24"/>
    <mergeCell ref="G25:H25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6"/>
  <sheetViews>
    <sheetView zoomScale="120" workbookViewId="0">
      <selection activeCell="B10" sqref="B10"/>
    </sheetView>
  </sheetViews>
  <sheetFormatPr baseColWidth="10" defaultColWidth="13.09765625" defaultRowHeight="19"/>
  <cols>
    <col min="1" max="1" width="11.3984375" style="520" customWidth="1"/>
    <col min="2" max="2" width="9.69921875" style="520" customWidth="1"/>
    <col min="3" max="3" width="3.19921875" style="520" customWidth="1"/>
    <col min="4" max="4" width="10" style="520" customWidth="1"/>
    <col min="5" max="5" width="12.5" style="520" customWidth="1"/>
    <col min="6" max="6" width="6.3984375" style="520" customWidth="1"/>
    <col min="7" max="7" width="7.796875" style="520" customWidth="1"/>
    <col min="8" max="8" width="3.19921875" style="520" customWidth="1"/>
    <col min="9" max="9" width="13.5" style="520" customWidth="1"/>
    <col min="10" max="10" width="9.59765625" style="520" customWidth="1"/>
    <col min="11" max="11" width="8.09765625" style="520" customWidth="1"/>
    <col min="12" max="13" width="6" style="520" customWidth="1"/>
    <col min="14" max="16" width="7.3984375" style="520" customWidth="1"/>
    <col min="17" max="17" width="8.296875" style="520" customWidth="1"/>
    <col min="18" max="16384" width="13.09765625" style="520"/>
  </cols>
  <sheetData>
    <row r="1" spans="1:13" s="537" customFormat="1" ht="43" customHeight="1">
      <c r="A1" s="538" t="s">
        <v>483</v>
      </c>
    </row>
    <row r="2" spans="1:13" s="508" customFormat="1" ht="10" customHeight="1">
      <c r="H2" s="517"/>
      <c r="I2" s="517"/>
      <c r="J2" s="517"/>
    </row>
    <row r="3" spans="1:13" ht="25">
      <c r="A3" s="518" t="s">
        <v>552</v>
      </c>
      <c r="B3" s="508"/>
      <c r="C3" s="508"/>
      <c r="D3" s="508"/>
      <c r="E3" s="508"/>
      <c r="F3" s="508"/>
      <c r="G3" s="511"/>
      <c r="H3" s="511"/>
      <c r="I3" s="519"/>
      <c r="J3" s="508"/>
      <c r="K3" s="508"/>
      <c r="L3" s="508"/>
      <c r="M3" s="508"/>
    </row>
    <row r="4" spans="1:13" ht="27" customHeight="1">
      <c r="A4" s="514" t="s">
        <v>553</v>
      </c>
      <c r="B4" s="508">
        <v>98.6</v>
      </c>
      <c r="C4" s="521" t="s">
        <v>554</v>
      </c>
      <c r="D4" s="508"/>
      <c r="E4" s="508"/>
      <c r="F4" s="508"/>
      <c r="G4" s="511"/>
      <c r="H4" s="511"/>
      <c r="I4" s="518" t="s">
        <v>158</v>
      </c>
      <c r="J4" s="522"/>
      <c r="K4" s="523"/>
      <c r="L4" s="508"/>
      <c r="M4" s="508"/>
    </row>
    <row r="5" spans="1:13" ht="27" customHeight="1">
      <c r="A5" s="514" t="s">
        <v>555</v>
      </c>
      <c r="B5" s="508">
        <v>99.5</v>
      </c>
      <c r="C5" s="521" t="s">
        <v>556</v>
      </c>
      <c r="D5" s="508"/>
      <c r="E5" s="508"/>
      <c r="F5" s="508"/>
      <c r="G5" s="511"/>
      <c r="H5" s="511"/>
      <c r="I5" s="521" t="s">
        <v>26</v>
      </c>
      <c r="J5" s="508"/>
      <c r="K5" s="508"/>
      <c r="L5" s="508"/>
      <c r="M5" s="508"/>
    </row>
    <row r="6" spans="1:13" ht="27" customHeight="1">
      <c r="A6" s="542" t="s">
        <v>676</v>
      </c>
      <c r="B6" s="543">
        <v>0.1</v>
      </c>
      <c r="C6" s="544" t="s">
        <v>684</v>
      </c>
      <c r="D6" s="543"/>
      <c r="E6" s="543"/>
      <c r="F6" s="543"/>
      <c r="G6" s="545"/>
      <c r="H6" s="545"/>
      <c r="I6" s="544" t="s">
        <v>255</v>
      </c>
      <c r="J6" s="544" t="s">
        <v>256</v>
      </c>
      <c r="K6" s="543"/>
      <c r="L6" s="508"/>
      <c r="M6" s="508"/>
    </row>
    <row r="7" spans="1:13" ht="14" customHeight="1">
      <c r="A7" s="514"/>
      <c r="B7" s="517"/>
      <c r="C7" s="521"/>
      <c r="D7" s="517"/>
      <c r="E7" s="517"/>
      <c r="F7" s="517"/>
      <c r="G7" s="511"/>
      <c r="H7" s="511"/>
      <c r="I7" s="517"/>
      <c r="J7" s="517"/>
      <c r="K7" s="517"/>
      <c r="L7" s="517"/>
      <c r="M7" s="517"/>
    </row>
    <row r="8" spans="1:13" s="524" customFormat="1" ht="32" customHeight="1">
      <c r="A8" s="518" t="s">
        <v>685</v>
      </c>
      <c r="B8" s="508"/>
      <c r="C8" s="511"/>
      <c r="D8" s="514" t="s">
        <v>502</v>
      </c>
      <c r="E8" s="515">
        <v>0.05</v>
      </c>
      <c r="F8" s="511"/>
      <c r="G8" s="511"/>
      <c r="H8" s="511"/>
      <c r="I8" s="509" t="s">
        <v>503</v>
      </c>
      <c r="J8" s="516">
        <v>0.95</v>
      </c>
      <c r="K8" s="511"/>
      <c r="L8" s="511"/>
      <c r="M8" s="511"/>
    </row>
    <row r="9" spans="1:13" ht="28" customHeight="1" thickBot="1">
      <c r="A9" s="533" t="s">
        <v>387</v>
      </c>
      <c r="B9" s="533" t="s">
        <v>388</v>
      </c>
      <c r="C9" s="508"/>
      <c r="D9" s="507" t="s">
        <v>694</v>
      </c>
      <c r="E9" s="508"/>
      <c r="F9" s="508"/>
      <c r="G9" s="508"/>
      <c r="H9" s="517"/>
      <c r="I9" s="507" t="s">
        <v>247</v>
      </c>
      <c r="J9" s="508"/>
      <c r="K9" s="508"/>
      <c r="L9" s="508"/>
      <c r="M9" s="508"/>
    </row>
    <row r="10" spans="1:13" s="524" customFormat="1" ht="31" customHeight="1" thickBot="1">
      <c r="A10" s="525">
        <v>1</v>
      </c>
      <c r="B10" s="531">
        <f ca="1">NORMINV(RAND(),$B$5,$B$6)</f>
        <v>99.565665052508621</v>
      </c>
      <c r="C10" s="511"/>
      <c r="D10" s="541" t="s">
        <v>248</v>
      </c>
      <c r="E10" s="550">
        <f ca="1">(B20-B4)/B30</f>
        <v>22.629414217511876</v>
      </c>
      <c r="F10" s="539" t="s">
        <v>511</v>
      </c>
      <c r="G10" s="540"/>
      <c r="H10" s="511"/>
      <c r="I10" s="509" t="s">
        <v>249</v>
      </c>
      <c r="J10" s="512">
        <f ca="1">B30</f>
        <v>4.1716209582752947E-2</v>
      </c>
      <c r="K10" s="508"/>
      <c r="L10" s="511"/>
      <c r="M10" s="511"/>
    </row>
    <row r="11" spans="1:13" ht="30" customHeight="1" thickBot="1">
      <c r="A11" s="525">
        <v>2</v>
      </c>
      <c r="B11" s="531">
        <f t="shared" ref="B11:B19" ca="1" si="0">NORMINV(RAND(),$B$5,$B$6)</f>
        <v>99.608195084927374</v>
      </c>
      <c r="C11" s="514"/>
      <c r="D11" s="509" t="s">
        <v>412</v>
      </c>
      <c r="E11" s="510">
        <f ca="1">TINV(2*E8,B26)</f>
        <v>1.83311292255007</v>
      </c>
      <c r="F11" s="508"/>
      <c r="G11" s="508"/>
      <c r="H11" s="517"/>
      <c r="I11" s="509" t="s">
        <v>413</v>
      </c>
      <c r="J11" s="510">
        <f ca="1">TINV(1-J8,B26)</f>
        <v>2.262157158173582</v>
      </c>
      <c r="K11" s="508"/>
      <c r="L11" s="508"/>
      <c r="M11" s="508"/>
    </row>
    <row r="12" spans="1:13" ht="30" customHeight="1" thickBot="1">
      <c r="A12" s="525">
        <v>3</v>
      </c>
      <c r="B12" s="531">
        <f t="shared" ca="1" si="0"/>
        <v>99.447178736295683</v>
      </c>
      <c r="C12" s="514"/>
      <c r="D12" s="509"/>
      <c r="E12" s="508"/>
      <c r="F12" s="508"/>
      <c r="G12" s="508"/>
      <c r="H12" s="517"/>
      <c r="I12" s="541" t="s">
        <v>414</v>
      </c>
      <c r="J12" s="551">
        <f ca="1">J10*J11</f>
        <v>9.4368622119493956E-2</v>
      </c>
      <c r="K12" s="513" t="s">
        <v>309</v>
      </c>
      <c r="L12" s="508"/>
      <c r="M12" s="508"/>
    </row>
    <row r="13" spans="1:13" ht="30" customHeight="1">
      <c r="A13" s="525">
        <v>4</v>
      </c>
      <c r="B13" s="531">
        <f t="shared" ca="1" si="0"/>
        <v>99.357707181633742</v>
      </c>
      <c r="C13" s="509"/>
      <c r="D13" s="508"/>
      <c r="E13" s="508"/>
      <c r="F13" s="508"/>
      <c r="G13" s="508"/>
      <c r="H13" s="517"/>
      <c r="K13" s="535"/>
      <c r="L13" s="535"/>
      <c r="M13" s="508"/>
    </row>
    <row r="14" spans="1:13" ht="30" customHeight="1">
      <c r="A14" s="525">
        <v>5</v>
      </c>
      <c r="B14" s="531">
        <f t="shared" ca="1" si="0"/>
        <v>99.533766344883176</v>
      </c>
      <c r="C14" s="508"/>
      <c r="D14" s="508"/>
      <c r="E14" s="508"/>
      <c r="F14" s="508"/>
      <c r="G14" s="508"/>
      <c r="H14" s="517"/>
      <c r="I14" s="509" t="s">
        <v>415</v>
      </c>
      <c r="J14" s="536">
        <f ca="1">B20+J12</f>
        <v>99.638382008352139</v>
      </c>
      <c r="K14" s="800" t="s">
        <v>157</v>
      </c>
      <c r="L14" s="801"/>
      <c r="M14" s="508"/>
    </row>
    <row r="15" spans="1:13" ht="30" customHeight="1">
      <c r="A15" s="525">
        <v>6</v>
      </c>
      <c r="B15" s="531">
        <f t="shared" ca="1" si="0"/>
        <v>99.720411181109483</v>
      </c>
      <c r="C15" s="508"/>
      <c r="D15" s="508"/>
      <c r="E15" s="508"/>
      <c r="F15" s="508"/>
      <c r="G15" s="508"/>
      <c r="H15" s="517"/>
      <c r="I15" s="509" t="s">
        <v>613</v>
      </c>
      <c r="J15" s="536">
        <f ca="1">B20-J12</f>
        <v>99.44964476411316</v>
      </c>
      <c r="K15" s="800"/>
      <c r="L15" s="801"/>
      <c r="M15" s="508"/>
    </row>
    <row r="16" spans="1:13" ht="30" customHeight="1">
      <c r="A16" s="525">
        <v>7</v>
      </c>
      <c r="B16" s="531">
        <f t="shared" ca="1" si="0"/>
        <v>99.41707402344899</v>
      </c>
      <c r="C16" s="508"/>
      <c r="D16" s="508"/>
      <c r="E16" s="508"/>
      <c r="F16" s="508"/>
      <c r="G16" s="508"/>
      <c r="H16" s="517"/>
      <c r="I16" s="508"/>
      <c r="J16" s="508"/>
      <c r="K16" s="508"/>
      <c r="L16" s="508"/>
      <c r="M16" s="508"/>
    </row>
    <row r="17" spans="1:13" ht="30" customHeight="1">
      <c r="A17" s="525">
        <v>8</v>
      </c>
      <c r="B17" s="531">
        <f t="shared" ca="1" si="0"/>
        <v>99.411955762026892</v>
      </c>
      <c r="C17" s="508"/>
      <c r="D17" s="508"/>
      <c r="E17" s="508"/>
      <c r="F17" s="508"/>
      <c r="G17" s="508"/>
      <c r="H17" s="517"/>
      <c r="I17" s="508"/>
      <c r="J17" s="508"/>
      <c r="K17" s="508"/>
      <c r="L17" s="508"/>
      <c r="M17" s="508"/>
    </row>
    <row r="18" spans="1:13" ht="30" customHeight="1">
      <c r="A18" s="525">
        <v>9</v>
      </c>
      <c r="B18" s="531">
        <f t="shared" ca="1" si="0"/>
        <v>99.712308376790361</v>
      </c>
      <c r="C18" s="508"/>
      <c r="D18" s="508"/>
      <c r="E18" s="508"/>
      <c r="F18" s="508"/>
      <c r="G18" s="508"/>
      <c r="H18" s="517"/>
      <c r="I18" s="508"/>
      <c r="J18" s="508"/>
      <c r="K18" s="508"/>
      <c r="L18" s="508"/>
      <c r="M18" s="508"/>
    </row>
    <row r="19" spans="1:13" ht="30" customHeight="1">
      <c r="A19" s="525">
        <v>10</v>
      </c>
      <c r="B19" s="532">
        <f t="shared" ca="1" si="0"/>
        <v>99.665872118702154</v>
      </c>
      <c r="C19" s="508"/>
      <c r="D19" s="508"/>
      <c r="E19" s="508"/>
      <c r="F19" s="508"/>
      <c r="G19" s="508"/>
      <c r="H19" s="517"/>
      <c r="I19" s="508"/>
      <c r="J19" s="508"/>
      <c r="K19" s="508"/>
      <c r="L19" s="508"/>
      <c r="M19" s="508"/>
    </row>
    <row r="20" spans="1:13" ht="30" customHeight="1">
      <c r="A20" s="508" t="s">
        <v>434</v>
      </c>
      <c r="B20" s="512">
        <f ca="1">AVERAGE(B10:B19)</f>
        <v>99.544013386232649</v>
      </c>
      <c r="C20" s="508"/>
      <c r="D20" s="526"/>
      <c r="E20" s="508"/>
      <c r="F20" s="508"/>
      <c r="G20" s="508"/>
      <c r="H20" s="517"/>
      <c r="I20" s="508"/>
      <c r="J20" s="508"/>
      <c r="K20" s="508"/>
      <c r="L20" s="508"/>
      <c r="M20" s="508"/>
    </row>
    <row r="21" spans="1:13" ht="16" customHeight="1">
      <c r="A21" s="508"/>
      <c r="B21" s="512"/>
      <c r="C21" s="508"/>
      <c r="D21" s="526"/>
      <c r="E21" s="508"/>
      <c r="F21" s="508"/>
      <c r="G21" s="508"/>
      <c r="H21" s="517"/>
      <c r="I21" s="508"/>
      <c r="J21" s="508"/>
      <c r="K21" s="508"/>
      <c r="L21" s="508"/>
      <c r="M21" s="508"/>
    </row>
    <row r="22" spans="1:13" ht="30" customHeight="1">
      <c r="A22" s="507" t="s">
        <v>435</v>
      </c>
      <c r="B22" s="508"/>
      <c r="C22" s="508"/>
      <c r="D22" s="508"/>
      <c r="E22" s="508"/>
      <c r="F22" s="508"/>
      <c r="G22" s="508"/>
      <c r="H22" s="517"/>
      <c r="I22" s="508"/>
      <c r="J22" s="508"/>
      <c r="K22" s="508"/>
      <c r="L22" s="508"/>
      <c r="M22" s="508"/>
    </row>
    <row r="23" spans="1:13" ht="30" customHeight="1">
      <c r="A23" s="509" t="s">
        <v>436</v>
      </c>
      <c r="B23" s="527">
        <f ca="1">SUM(B10:B19)</f>
        <v>995.44013386232643</v>
      </c>
      <c r="C23" s="526" t="s">
        <v>302</v>
      </c>
      <c r="D23" s="508"/>
      <c r="E23" s="508"/>
      <c r="F23" s="508"/>
      <c r="G23" s="508"/>
      <c r="H23" s="517"/>
      <c r="I23" s="508"/>
      <c r="J23" s="508"/>
      <c r="K23" s="508"/>
      <c r="L23" s="508"/>
      <c r="M23" s="508"/>
    </row>
    <row r="24" spans="1:13" ht="30" customHeight="1">
      <c r="A24" s="509" t="s">
        <v>437</v>
      </c>
      <c r="B24" s="528">
        <f ca="1">COUNT(B10:B19)</f>
        <v>10</v>
      </c>
      <c r="C24" s="526" t="s">
        <v>146</v>
      </c>
      <c r="D24" s="508"/>
      <c r="E24" s="508"/>
      <c r="F24" s="508"/>
      <c r="G24" s="508"/>
      <c r="H24" s="517"/>
      <c r="I24" s="508"/>
      <c r="J24" s="508"/>
      <c r="K24" s="508"/>
      <c r="L24" s="508"/>
      <c r="M24" s="508"/>
    </row>
    <row r="25" spans="1:13" ht="27" customHeight="1">
      <c r="A25" s="529" t="s">
        <v>438</v>
      </c>
      <c r="B25" s="523">
        <f ca="1">SUMSQ(B10:B19)-B23^2/B24</f>
        <v>0.15662179277569521</v>
      </c>
      <c r="C25" s="526" t="s">
        <v>390</v>
      </c>
      <c r="D25" s="508"/>
      <c r="E25" s="508"/>
      <c r="F25" s="508"/>
      <c r="G25" s="508"/>
      <c r="H25" s="517"/>
      <c r="I25" s="508"/>
      <c r="J25" s="508"/>
      <c r="K25" s="508"/>
      <c r="L25" s="508"/>
      <c r="M25" s="508"/>
    </row>
    <row r="26" spans="1:13" ht="27" customHeight="1">
      <c r="A26" s="530" t="s">
        <v>439</v>
      </c>
      <c r="B26" s="525">
        <f ca="1">B24-1</f>
        <v>9</v>
      </c>
      <c r="C26" s="526" t="s">
        <v>389</v>
      </c>
      <c r="D26" s="508"/>
      <c r="E26" s="508"/>
      <c r="F26" s="508"/>
      <c r="G26" s="508"/>
      <c r="H26" s="517"/>
      <c r="I26" s="508"/>
      <c r="J26" s="508"/>
      <c r="K26" s="508"/>
      <c r="L26" s="508"/>
      <c r="M26" s="508"/>
    </row>
    <row r="27" spans="1:13" ht="27" customHeight="1">
      <c r="A27" s="509" t="s">
        <v>440</v>
      </c>
      <c r="B27" s="510">
        <f ca="1">B25/B26</f>
        <v>1.7402421419521689E-2</v>
      </c>
      <c r="C27" s="526" t="s">
        <v>391</v>
      </c>
      <c r="D27" s="508"/>
      <c r="E27" s="508"/>
      <c r="F27" s="508"/>
      <c r="G27" s="508"/>
      <c r="H27" s="517"/>
      <c r="I27" s="508"/>
      <c r="J27" s="508"/>
      <c r="K27" s="508"/>
      <c r="L27" s="508"/>
      <c r="M27" s="508"/>
    </row>
    <row r="28" spans="1:13" ht="27" customHeight="1">
      <c r="A28" s="509" t="s">
        <v>441</v>
      </c>
      <c r="B28" s="510">
        <f ca="1">SQRT(B27)</f>
        <v>0.13191823763044172</v>
      </c>
      <c r="C28" s="534" t="s">
        <v>472</v>
      </c>
      <c r="D28" s="526"/>
      <c r="E28" s="508"/>
      <c r="F28" s="508"/>
      <c r="G28" s="508"/>
      <c r="H28" s="517"/>
      <c r="I28" s="508"/>
      <c r="J28" s="508"/>
      <c r="K28" s="508"/>
      <c r="L28" s="508"/>
      <c r="M28" s="508"/>
    </row>
    <row r="29" spans="1:13" ht="27" customHeight="1">
      <c r="A29" s="509" t="s">
        <v>383</v>
      </c>
      <c r="B29" s="510">
        <f ca="1">B27/B24</f>
        <v>1.7402421419521689E-3</v>
      </c>
      <c r="C29" s="534" t="s">
        <v>469</v>
      </c>
      <c r="D29" s="508"/>
      <c r="E29" s="508"/>
      <c r="F29" s="508"/>
      <c r="G29" s="508"/>
      <c r="H29" s="517"/>
      <c r="I29" s="508"/>
      <c r="J29" s="508"/>
      <c r="K29" s="508"/>
      <c r="L29" s="508"/>
      <c r="M29" s="508"/>
    </row>
    <row r="30" spans="1:13" ht="27" customHeight="1">
      <c r="A30" s="509" t="s">
        <v>226</v>
      </c>
      <c r="B30" s="510">
        <f ca="1">SQRT(B29)</f>
        <v>4.1716209582752947E-2</v>
      </c>
      <c r="C30" s="526" t="s">
        <v>301</v>
      </c>
      <c r="D30" s="508"/>
      <c r="E30" s="508"/>
      <c r="F30" s="508"/>
      <c r="G30" s="508"/>
      <c r="H30" s="517"/>
      <c r="I30" s="508"/>
      <c r="J30" s="508"/>
      <c r="K30" s="508"/>
      <c r="L30" s="508"/>
      <c r="M30" s="508"/>
    </row>
    <row r="31" spans="1:13" ht="27" customHeight="1">
      <c r="A31" s="508"/>
      <c r="B31" s="508"/>
      <c r="C31" s="508"/>
      <c r="D31" s="508"/>
      <c r="E31" s="508"/>
      <c r="F31" s="508"/>
      <c r="G31" s="508"/>
      <c r="H31" s="517"/>
      <c r="I31" s="508"/>
      <c r="J31" s="508"/>
      <c r="K31" s="508"/>
      <c r="L31" s="508"/>
      <c r="M31" s="508"/>
    </row>
    <row r="32" spans="1:13" ht="27" customHeight="1">
      <c r="A32" s="508"/>
      <c r="B32" s="508"/>
      <c r="C32" s="508"/>
      <c r="D32" s="508"/>
      <c r="E32" s="508"/>
      <c r="F32" s="508"/>
      <c r="G32" s="508"/>
      <c r="H32" s="517"/>
      <c r="I32" s="508"/>
      <c r="J32" s="508"/>
      <c r="K32" s="508"/>
      <c r="L32" s="508"/>
      <c r="M32" s="508"/>
    </row>
    <row r="33" spans="1:13" ht="27" customHeight="1">
      <c r="A33" s="509"/>
      <c r="B33" s="508"/>
      <c r="C33" s="508"/>
      <c r="D33" s="508"/>
      <c r="E33" s="508"/>
      <c r="F33" s="508"/>
      <c r="G33" s="508"/>
      <c r="H33" s="517"/>
      <c r="I33" s="508"/>
      <c r="J33" s="508"/>
      <c r="K33" s="508"/>
      <c r="L33" s="508"/>
      <c r="M33" s="508"/>
    </row>
    <row r="34" spans="1:13" ht="30" customHeight="1">
      <c r="A34" s="508"/>
      <c r="B34" s="508"/>
      <c r="C34" s="508"/>
      <c r="D34" s="508"/>
      <c r="E34" s="508"/>
      <c r="F34" s="508"/>
      <c r="G34" s="508"/>
      <c r="H34" s="517"/>
      <c r="I34" s="508"/>
      <c r="J34" s="508"/>
      <c r="K34" s="508"/>
      <c r="L34" s="508"/>
      <c r="M34" s="508"/>
    </row>
    <row r="35" spans="1:13" ht="27" customHeight="1">
      <c r="A35" s="508"/>
      <c r="B35" s="508"/>
      <c r="C35" s="508"/>
      <c r="D35" s="508"/>
      <c r="E35" s="508"/>
      <c r="F35" s="508"/>
      <c r="G35" s="508"/>
      <c r="H35" s="517"/>
      <c r="I35" s="508"/>
      <c r="J35" s="508"/>
      <c r="K35" s="508"/>
      <c r="L35" s="508"/>
      <c r="M35" s="508"/>
    </row>
    <row r="36" spans="1:13" ht="27" customHeight="1">
      <c r="A36" s="508"/>
      <c r="B36" s="508"/>
      <c r="C36" s="508"/>
      <c r="D36" s="508"/>
      <c r="E36" s="508"/>
      <c r="F36" s="508"/>
      <c r="G36" s="508"/>
      <c r="H36" s="517"/>
      <c r="I36" s="508"/>
      <c r="J36" s="508"/>
      <c r="K36" s="508"/>
      <c r="L36" s="508"/>
      <c r="M36" s="508"/>
    </row>
    <row r="37" spans="1:13" ht="27" customHeight="1">
      <c r="A37" s="508"/>
      <c r="B37" s="508"/>
      <c r="C37" s="508"/>
      <c r="D37" s="508"/>
      <c r="E37" s="508"/>
      <c r="F37" s="508"/>
      <c r="G37" s="508"/>
      <c r="H37" s="517"/>
      <c r="I37" s="508"/>
      <c r="J37" s="508"/>
      <c r="K37" s="508"/>
      <c r="L37" s="508"/>
      <c r="M37" s="508"/>
    </row>
    <row r="38" spans="1:13" ht="27" customHeight="1">
      <c r="A38" s="508"/>
      <c r="B38" s="508"/>
      <c r="C38" s="508"/>
      <c r="D38" s="508"/>
      <c r="E38" s="508"/>
      <c r="F38" s="508"/>
      <c r="G38" s="508"/>
      <c r="H38" s="517"/>
      <c r="I38" s="508"/>
      <c r="J38" s="508"/>
      <c r="K38" s="508"/>
      <c r="L38" s="508"/>
      <c r="M38" s="508"/>
    </row>
    <row r="39" spans="1:13" ht="27" customHeight="1">
      <c r="A39" s="509"/>
      <c r="B39" s="508"/>
      <c r="C39" s="508"/>
      <c r="D39" s="508"/>
      <c r="E39" s="508"/>
      <c r="F39" s="508"/>
      <c r="G39" s="508"/>
      <c r="H39" s="517"/>
      <c r="I39" s="508"/>
      <c r="J39" s="508"/>
      <c r="K39" s="508"/>
      <c r="L39" s="508"/>
      <c r="M39" s="508"/>
    </row>
    <row r="40" spans="1:13" ht="30" customHeight="1">
      <c r="A40" s="508"/>
      <c r="B40" s="508"/>
      <c r="C40" s="508"/>
      <c r="D40" s="508"/>
      <c r="E40" s="508"/>
      <c r="F40" s="508"/>
      <c r="G40" s="508"/>
      <c r="H40" s="517"/>
      <c r="I40" s="508"/>
      <c r="J40" s="508"/>
      <c r="K40" s="508"/>
      <c r="L40" s="508"/>
      <c r="M40" s="508"/>
    </row>
    <row r="41" spans="1:13" ht="27" customHeight="1">
      <c r="A41" s="508"/>
      <c r="B41" s="508"/>
      <c r="C41" s="508"/>
      <c r="D41" s="508"/>
      <c r="E41" s="508"/>
      <c r="F41" s="508"/>
      <c r="G41" s="508"/>
      <c r="H41" s="517"/>
      <c r="I41" s="508"/>
      <c r="J41" s="508"/>
      <c r="K41" s="508"/>
      <c r="L41" s="508"/>
      <c r="M41" s="508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sheetCalcPr fullCalcOnLoad="1"/>
  <mergeCells count="1">
    <mergeCell ref="K14:L15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4"/>
  <sheetViews>
    <sheetView zoomScale="77" workbookViewId="0">
      <selection activeCell="Q17" sqref="Q17"/>
    </sheetView>
  </sheetViews>
  <sheetFormatPr baseColWidth="10" defaultRowHeight="27" customHeight="1"/>
  <cols>
    <col min="1" max="1" width="13.3984375" style="173" customWidth="1"/>
    <col min="2" max="5" width="9.796875" style="173" customWidth="1"/>
    <col min="6" max="6" width="12" style="173" customWidth="1"/>
    <col min="7" max="17" width="9.796875" style="173" customWidth="1"/>
    <col min="18" max="20" width="9.8984375" style="173" customWidth="1"/>
    <col min="21" max="21" width="10.59765625" style="173" customWidth="1"/>
    <col min="22" max="22" width="5.09765625" style="173" customWidth="1"/>
    <col min="23" max="16384" width="10.69921875" style="173"/>
  </cols>
  <sheetData>
    <row r="1" spans="1:7" s="769" customFormat="1" ht="52" customHeight="1">
      <c r="A1" s="768" t="s">
        <v>66</v>
      </c>
      <c r="B1" s="768"/>
      <c r="C1" s="768"/>
      <c r="D1" s="768"/>
      <c r="E1" s="768"/>
      <c r="F1" s="768"/>
      <c r="G1" s="768"/>
    </row>
    <row r="2" spans="1:7" s="604" customFormat="1" ht="32" customHeight="1">
      <c r="A2" s="364" t="s">
        <v>64</v>
      </c>
      <c r="B2" s="772">
        <v>1</v>
      </c>
      <c r="C2" s="772">
        <v>2</v>
      </c>
      <c r="D2" s="772">
        <v>3</v>
      </c>
      <c r="E2" s="772">
        <v>4</v>
      </c>
      <c r="F2" s="764"/>
      <c r="G2" s="764"/>
    </row>
    <row r="3" spans="1:7" ht="27" customHeight="1">
      <c r="A3" s="562" t="s">
        <v>68</v>
      </c>
      <c r="B3" s="765">
        <v>25</v>
      </c>
      <c r="C3" s="766">
        <v>20</v>
      </c>
      <c r="D3" s="765">
        <v>20</v>
      </c>
      <c r="E3" s="766">
        <v>25</v>
      </c>
      <c r="F3" s="878" t="s">
        <v>69</v>
      </c>
      <c r="G3" s="879">
        <f>PEARSON(B3:E3,B4:E4)^2</f>
        <v>0</v>
      </c>
    </row>
    <row r="4" spans="1:7" ht="27" customHeight="1">
      <c r="A4" s="364" t="s">
        <v>67</v>
      </c>
      <c r="B4" s="771">
        <v>-3</v>
      </c>
      <c r="C4" s="771">
        <v>-1</v>
      </c>
      <c r="D4" s="771">
        <v>1</v>
      </c>
      <c r="E4" s="771">
        <v>3</v>
      </c>
      <c r="F4" s="878"/>
      <c r="G4" s="879"/>
    </row>
    <row r="5" spans="1:7" ht="27" customHeight="1">
      <c r="A5" s="562" t="s">
        <v>215</v>
      </c>
      <c r="B5" s="765">
        <v>3</v>
      </c>
      <c r="C5" s="766"/>
      <c r="D5" s="765"/>
      <c r="E5" s="766"/>
      <c r="F5" s="767"/>
      <c r="G5" s="770"/>
    </row>
    <row r="6" spans="1:7" ht="27" customHeight="1">
      <c r="A6" s="773" t="s">
        <v>70</v>
      </c>
      <c r="B6" s="774">
        <v>5</v>
      </c>
      <c r="C6" s="775" t="s">
        <v>470</v>
      </c>
      <c r="D6" s="774">
        <v>4</v>
      </c>
      <c r="E6" s="776"/>
      <c r="F6" s="777"/>
      <c r="G6" s="778"/>
    </row>
    <row r="7" spans="1:7" ht="27" customHeight="1">
      <c r="A7" s="780" t="s">
        <v>71</v>
      </c>
      <c r="B7" s="781"/>
      <c r="C7" s="781"/>
      <c r="D7" s="781"/>
      <c r="E7" s="781"/>
      <c r="F7" s="781"/>
      <c r="G7" s="781"/>
    </row>
    <row r="8" spans="1:7" ht="27" customHeight="1">
      <c r="A8" s="781"/>
      <c r="B8" s="782">
        <f ca="1">ROUND(NORMINV(RAND(),B$3,$B$5),0)</f>
        <v>20</v>
      </c>
      <c r="C8" s="782">
        <f t="shared" ref="C8:E12" ca="1" si="0">ROUND(NORMINV(RAND(),C$3,$B$5),0)</f>
        <v>20</v>
      </c>
      <c r="D8" s="782">
        <f t="shared" ca="1" si="0"/>
        <v>21</v>
      </c>
      <c r="E8" s="782">
        <f t="shared" ca="1" si="0"/>
        <v>25</v>
      </c>
      <c r="F8" s="781"/>
      <c r="G8" s="781"/>
    </row>
    <row r="9" spans="1:7" ht="27" customHeight="1">
      <c r="A9" s="781"/>
      <c r="B9" s="782">
        <f t="shared" ref="B9:B12" ca="1" si="1">ROUND(NORMINV(RAND(),B$3,$B$5),0)</f>
        <v>26</v>
      </c>
      <c r="C9" s="782">
        <f t="shared" ca="1" si="0"/>
        <v>26</v>
      </c>
      <c r="D9" s="782">
        <f t="shared" ca="1" si="0"/>
        <v>16</v>
      </c>
      <c r="E9" s="782">
        <f t="shared" ca="1" si="0"/>
        <v>23</v>
      </c>
      <c r="F9" s="781"/>
      <c r="G9" s="781"/>
    </row>
    <row r="10" spans="1:7" ht="27" customHeight="1">
      <c r="A10" s="781"/>
      <c r="B10" s="782">
        <f t="shared" ca="1" si="1"/>
        <v>24</v>
      </c>
      <c r="C10" s="782">
        <f t="shared" ca="1" si="0"/>
        <v>19</v>
      </c>
      <c r="D10" s="782">
        <f t="shared" ca="1" si="0"/>
        <v>24</v>
      </c>
      <c r="E10" s="782">
        <f t="shared" ca="1" si="0"/>
        <v>22</v>
      </c>
      <c r="F10" s="781"/>
      <c r="G10" s="781"/>
    </row>
    <row r="11" spans="1:7" ht="27" customHeight="1">
      <c r="A11" s="781"/>
      <c r="B11" s="782">
        <f t="shared" ca="1" si="1"/>
        <v>25</v>
      </c>
      <c r="C11" s="782">
        <f t="shared" ca="1" si="0"/>
        <v>24</v>
      </c>
      <c r="D11" s="782">
        <f t="shared" ca="1" si="0"/>
        <v>21</v>
      </c>
      <c r="E11" s="782">
        <f t="shared" ca="1" si="0"/>
        <v>19</v>
      </c>
      <c r="F11" s="781"/>
      <c r="G11" s="781"/>
    </row>
    <row r="12" spans="1:7" ht="27" customHeight="1">
      <c r="A12" s="783"/>
      <c r="B12" s="784">
        <f t="shared" ca="1" si="1"/>
        <v>26</v>
      </c>
      <c r="C12" s="784">
        <f t="shared" ca="1" si="0"/>
        <v>22</v>
      </c>
      <c r="D12" s="784">
        <f t="shared" ca="1" si="0"/>
        <v>23</v>
      </c>
      <c r="E12" s="784">
        <f t="shared" ca="1" si="0"/>
        <v>28</v>
      </c>
      <c r="F12" s="781"/>
      <c r="G12" s="781"/>
    </row>
    <row r="13" spans="1:7" ht="27" customHeight="1">
      <c r="A13" s="779" t="s">
        <v>72</v>
      </c>
      <c r="B13" s="786">
        <f ca="1">SUM(B8:B12)</f>
        <v>121</v>
      </c>
      <c r="C13" s="786">
        <f t="shared" ref="C13:E13" ca="1" si="2">SUM(C8:C12)</f>
        <v>111</v>
      </c>
      <c r="D13" s="786">
        <f t="shared" ca="1" si="2"/>
        <v>105</v>
      </c>
      <c r="E13" s="786">
        <f t="shared" ca="1" si="2"/>
        <v>117</v>
      </c>
      <c r="F13" s="788">
        <f ca="1">SUM(B13:E13)</f>
        <v>454</v>
      </c>
      <c r="G13" s="787" t="s">
        <v>74</v>
      </c>
    </row>
    <row r="14" spans="1:7" ht="27" customHeight="1">
      <c r="A14" s="779" t="s">
        <v>73</v>
      </c>
      <c r="B14" s="785">
        <f ca="1">AVERAGE(B8:B12)</f>
        <v>24.2</v>
      </c>
      <c r="C14" s="785">
        <f t="shared" ref="C14:E14" ca="1" si="3">AVERAGE(C8:C12)</f>
        <v>22.2</v>
      </c>
      <c r="D14" s="785">
        <f t="shared" ca="1" si="3"/>
        <v>21</v>
      </c>
      <c r="E14" s="785">
        <f t="shared" ca="1" si="3"/>
        <v>23.4</v>
      </c>
      <c r="F14" s="789">
        <f>B6*D6</f>
        <v>20</v>
      </c>
      <c r="G14" s="787" t="s">
        <v>75</v>
      </c>
    </row>
    <row r="15" spans="1:7" ht="27" customHeight="1">
      <c r="A15" s="763" t="s">
        <v>76</v>
      </c>
      <c r="B15" s="202"/>
      <c r="C15" s="202"/>
      <c r="D15" s="202"/>
      <c r="E15" s="202"/>
      <c r="F15" s="202"/>
      <c r="G15" s="202"/>
    </row>
    <row r="16" spans="1:7" ht="27" customHeight="1">
      <c r="A16" s="202" t="s">
        <v>77</v>
      </c>
      <c r="B16" s="202" t="s">
        <v>78</v>
      </c>
      <c r="C16" s="202" t="s">
        <v>79</v>
      </c>
      <c r="D16" s="202" t="s">
        <v>80</v>
      </c>
      <c r="E16" s="202" t="s">
        <v>56</v>
      </c>
      <c r="F16" s="202" t="s">
        <v>57</v>
      </c>
      <c r="G16" s="202" t="s">
        <v>58</v>
      </c>
    </row>
    <row r="17" spans="1:7" s="28" customFormat="1" ht="27" customHeight="1">
      <c r="A17" s="763" t="s">
        <v>59</v>
      </c>
      <c r="B17" s="790">
        <f>D6-1</f>
        <v>3</v>
      </c>
      <c r="C17" s="791">
        <f ca="1">SUMSQ(B13:E13)/B6-F13^2/F14</f>
        <v>29.400000000001455</v>
      </c>
      <c r="D17" s="763"/>
      <c r="E17" s="763"/>
      <c r="F17" s="763"/>
      <c r="G17" s="763"/>
    </row>
    <row r="18" spans="1:7" ht="27" customHeight="1">
      <c r="A18" s="202" t="s">
        <v>60</v>
      </c>
      <c r="B18" s="792">
        <v>1</v>
      </c>
      <c r="C18" s="202">
        <f ca="1">(B6*SUMPRODUCT(B4:E4,B14:E14)^2)/SUMSQ(B4:E4)</f>
        <v>3.2400000000000153</v>
      </c>
      <c r="D18" s="793">
        <f ca="1">C18/C17</f>
        <v>0.11020408163264812</v>
      </c>
      <c r="E18" s="793">
        <f ca="1">D17+C18/B18</f>
        <v>3.2400000000000153</v>
      </c>
      <c r="F18" s="794">
        <f ca="1">E18/E20</f>
        <v>0.33437236731255565</v>
      </c>
      <c r="G18" s="202">
        <f>FINV(0.05,B18,B20)</f>
        <v>4.4939984180602348</v>
      </c>
    </row>
    <row r="19" spans="1:7" ht="27" customHeight="1">
      <c r="A19" s="202" t="s">
        <v>61</v>
      </c>
      <c r="B19" s="792">
        <f>B17-B18</f>
        <v>2</v>
      </c>
      <c r="C19" s="202">
        <f ca="1">C17-C18</f>
        <v>26.160000000001439</v>
      </c>
      <c r="D19" s="793">
        <f ca="1">1-D18</f>
        <v>0.88979591836735183</v>
      </c>
      <c r="E19" s="793">
        <f ca="1">D18+C19/B19</f>
        <v>13.190204081633368</v>
      </c>
      <c r="F19" s="794">
        <f ca="1">E19/E20</f>
        <v>1.3612468407751428</v>
      </c>
      <c r="G19" s="202">
        <f>FINV(0.05,B19,B20)</f>
        <v>3.6337234676434944</v>
      </c>
    </row>
    <row r="20" spans="1:7" s="28" customFormat="1" ht="27" customHeight="1">
      <c r="A20" s="239" t="s">
        <v>62</v>
      </c>
      <c r="B20" s="795">
        <f>(B6-1)*D6</f>
        <v>16</v>
      </c>
      <c r="C20" s="796">
        <f ca="1">SUMSQ(B8:E12)-SUMSQ(B13:E13)/B6</f>
        <v>140.79999999999927</v>
      </c>
      <c r="D20" s="239"/>
      <c r="E20" s="797">
        <f ca="1">D19+C20/B20</f>
        <v>9.6897959183673059</v>
      </c>
      <c r="F20" s="239"/>
      <c r="G20" s="239"/>
    </row>
    <row r="21" spans="1:7" ht="27" customHeight="1">
      <c r="A21" s="142" t="s">
        <v>63</v>
      </c>
      <c r="B21" s="763">
        <f ca="1">SQRT(E20/B6)*TINV(0.05,B20)</f>
        <v>2.9511329190149738</v>
      </c>
      <c r="C21" s="202"/>
      <c r="D21" s="202"/>
      <c r="E21" s="202"/>
      <c r="F21" s="202"/>
      <c r="G21" s="202"/>
    </row>
    <row r="24" spans="1:7" s="769" customFormat="1" ht="52" customHeight="1">
      <c r="A24" s="768" t="s">
        <v>65</v>
      </c>
      <c r="B24" s="768"/>
      <c r="C24" s="768"/>
      <c r="D24" s="768"/>
      <c r="E24" s="768"/>
      <c r="F24" s="768"/>
      <c r="G24" s="768"/>
    </row>
    <row r="25" spans="1:7" s="604" customFormat="1" ht="32" customHeight="1">
      <c r="A25" s="364" t="s">
        <v>64</v>
      </c>
      <c r="B25" s="772">
        <v>1</v>
      </c>
      <c r="C25" s="772">
        <v>2</v>
      </c>
      <c r="D25" s="772">
        <v>3</v>
      </c>
      <c r="E25" s="772">
        <v>4</v>
      </c>
      <c r="F25" s="764"/>
      <c r="G25" s="764"/>
    </row>
    <row r="26" spans="1:7" ht="27" customHeight="1">
      <c r="A26" s="562" t="s">
        <v>68</v>
      </c>
      <c r="B26" s="765">
        <v>15</v>
      </c>
      <c r="C26" s="766">
        <v>20</v>
      </c>
      <c r="D26" s="765">
        <v>25</v>
      </c>
      <c r="E26" s="766">
        <v>30</v>
      </c>
      <c r="F26" s="878" t="s">
        <v>69</v>
      </c>
      <c r="G26" s="879">
        <f>PEARSON(B26:E26,B27:E27)^2</f>
        <v>0.99999999999999978</v>
      </c>
    </row>
    <row r="27" spans="1:7" ht="27" customHeight="1">
      <c r="A27" s="364" t="s">
        <v>67</v>
      </c>
      <c r="B27" s="771">
        <v>-3</v>
      </c>
      <c r="C27" s="771">
        <v>-1</v>
      </c>
      <c r="D27" s="771">
        <v>1</v>
      </c>
      <c r="E27" s="771">
        <v>3</v>
      </c>
      <c r="F27" s="878"/>
      <c r="G27" s="879"/>
    </row>
    <row r="28" spans="1:7" ht="27" customHeight="1">
      <c r="A28" s="562" t="s">
        <v>215</v>
      </c>
      <c r="B28" s="765">
        <v>2</v>
      </c>
      <c r="C28" s="766"/>
      <c r="D28" s="765"/>
      <c r="E28" s="766"/>
      <c r="F28" s="767"/>
      <c r="G28" s="770"/>
    </row>
    <row r="29" spans="1:7" ht="27" customHeight="1">
      <c r="A29" s="773" t="s">
        <v>70</v>
      </c>
      <c r="B29" s="774">
        <v>5</v>
      </c>
      <c r="C29" s="775" t="s">
        <v>470</v>
      </c>
      <c r="D29" s="774">
        <v>4</v>
      </c>
      <c r="E29" s="776"/>
      <c r="F29" s="777"/>
      <c r="G29" s="778"/>
    </row>
    <row r="30" spans="1:7" ht="27" customHeight="1">
      <c r="A30" s="780" t="s">
        <v>71</v>
      </c>
      <c r="B30" s="781"/>
      <c r="C30" s="781"/>
      <c r="D30" s="781"/>
      <c r="E30" s="781"/>
      <c r="F30" s="781"/>
      <c r="G30" s="781"/>
    </row>
    <row r="31" spans="1:7" ht="27" customHeight="1">
      <c r="A31" s="781"/>
      <c r="B31" s="782">
        <f ca="1">ROUND(NORMINV(RAND(),B$26,$B$28),0)</f>
        <v>15</v>
      </c>
      <c r="C31" s="786">
        <f t="shared" ref="C31:E35" ca="1" si="4">ROUND(NORMINV(RAND(),C$26,$B$28),0)</f>
        <v>17</v>
      </c>
      <c r="D31" s="786">
        <f t="shared" ca="1" si="4"/>
        <v>24</v>
      </c>
      <c r="E31" s="786">
        <f t="shared" ca="1" si="4"/>
        <v>30</v>
      </c>
      <c r="F31" s="781"/>
      <c r="G31" s="781"/>
    </row>
    <row r="32" spans="1:7" ht="27" customHeight="1">
      <c r="A32" s="781"/>
      <c r="B32" s="786">
        <f t="shared" ref="B32:B35" ca="1" si="5">ROUND(NORMINV(RAND(),B$26,$B$28),0)</f>
        <v>12</v>
      </c>
      <c r="C32" s="786">
        <f t="shared" ca="1" si="4"/>
        <v>20</v>
      </c>
      <c r="D32" s="786">
        <f t="shared" ca="1" si="4"/>
        <v>24</v>
      </c>
      <c r="E32" s="786">
        <f t="shared" ca="1" si="4"/>
        <v>30</v>
      </c>
      <c r="F32" s="781"/>
      <c r="G32" s="781"/>
    </row>
    <row r="33" spans="1:7" ht="27" customHeight="1">
      <c r="A33" s="781"/>
      <c r="B33" s="786">
        <f t="shared" ca="1" si="5"/>
        <v>17</v>
      </c>
      <c r="C33" s="786">
        <f t="shared" ca="1" si="4"/>
        <v>22</v>
      </c>
      <c r="D33" s="786">
        <f t="shared" ca="1" si="4"/>
        <v>25</v>
      </c>
      <c r="E33" s="786">
        <f t="shared" ca="1" si="4"/>
        <v>34</v>
      </c>
      <c r="F33" s="781"/>
      <c r="G33" s="781"/>
    </row>
    <row r="34" spans="1:7" ht="27" customHeight="1">
      <c r="A34" s="781"/>
      <c r="B34" s="786">
        <f t="shared" ca="1" si="5"/>
        <v>12</v>
      </c>
      <c r="C34" s="786">
        <f t="shared" ca="1" si="4"/>
        <v>20</v>
      </c>
      <c r="D34" s="786">
        <f t="shared" ca="1" si="4"/>
        <v>25</v>
      </c>
      <c r="E34" s="786">
        <f t="shared" ca="1" si="4"/>
        <v>32</v>
      </c>
      <c r="F34" s="781"/>
      <c r="G34" s="781"/>
    </row>
    <row r="35" spans="1:7" ht="27" customHeight="1">
      <c r="A35" s="783"/>
      <c r="B35" s="786">
        <f t="shared" ca="1" si="5"/>
        <v>15</v>
      </c>
      <c r="C35" s="786">
        <f t="shared" ca="1" si="4"/>
        <v>22</v>
      </c>
      <c r="D35" s="786">
        <f t="shared" ca="1" si="4"/>
        <v>26</v>
      </c>
      <c r="E35" s="786">
        <f t="shared" ca="1" si="4"/>
        <v>32</v>
      </c>
      <c r="F35" s="781"/>
      <c r="G35" s="781"/>
    </row>
    <row r="36" spans="1:7" ht="27" customHeight="1">
      <c r="A36" s="779" t="s">
        <v>72</v>
      </c>
      <c r="B36" s="786">
        <f ca="1">SUM(B31:B35)</f>
        <v>71</v>
      </c>
      <c r="C36" s="786">
        <f t="shared" ref="C36" ca="1" si="6">SUM(C31:C35)</f>
        <v>101</v>
      </c>
      <c r="D36" s="786">
        <f t="shared" ref="D36" ca="1" si="7">SUM(D31:D35)</f>
        <v>124</v>
      </c>
      <c r="E36" s="786">
        <f t="shared" ref="E36" ca="1" si="8">SUM(E31:E35)</f>
        <v>158</v>
      </c>
      <c r="F36" s="788">
        <f ca="1">SUM(B36:E36)</f>
        <v>454</v>
      </c>
      <c r="G36" s="787" t="s">
        <v>74</v>
      </c>
    </row>
    <row r="37" spans="1:7" ht="27" customHeight="1">
      <c r="A37" s="779" t="s">
        <v>73</v>
      </c>
      <c r="B37" s="785">
        <f ca="1">AVERAGE(B31:B35)</f>
        <v>14.2</v>
      </c>
      <c r="C37" s="785">
        <f t="shared" ref="C37:E37" ca="1" si="9">AVERAGE(C31:C35)</f>
        <v>20.2</v>
      </c>
      <c r="D37" s="785">
        <f t="shared" ca="1" si="9"/>
        <v>24.8</v>
      </c>
      <c r="E37" s="785">
        <f t="shared" ca="1" si="9"/>
        <v>31.6</v>
      </c>
      <c r="F37" s="789">
        <f>B29*D29</f>
        <v>20</v>
      </c>
      <c r="G37" s="787" t="s">
        <v>75</v>
      </c>
    </row>
    <row r="38" spans="1:7" ht="27" customHeight="1">
      <c r="A38" s="763" t="s">
        <v>76</v>
      </c>
      <c r="B38" s="202"/>
      <c r="C38" s="202"/>
      <c r="D38" s="202"/>
      <c r="E38" s="202"/>
      <c r="F38" s="202"/>
      <c r="G38" s="202"/>
    </row>
    <row r="39" spans="1:7" ht="27" customHeight="1">
      <c r="A39" s="202" t="s">
        <v>77</v>
      </c>
      <c r="B39" s="202" t="s">
        <v>78</v>
      </c>
      <c r="C39" s="202" t="s">
        <v>79</v>
      </c>
      <c r="D39" s="202" t="s">
        <v>80</v>
      </c>
      <c r="E39" s="202" t="s">
        <v>56</v>
      </c>
      <c r="F39" s="202" t="s">
        <v>57</v>
      </c>
      <c r="G39" s="202" t="s">
        <v>58</v>
      </c>
    </row>
    <row r="40" spans="1:7" s="28" customFormat="1" ht="27" customHeight="1">
      <c r="A40" s="763" t="s">
        <v>59</v>
      </c>
      <c r="B40" s="790">
        <f>D29-1</f>
        <v>3</v>
      </c>
      <c r="C40" s="791">
        <f ca="1">SUMSQ(B36:E36)/B29-F36^2/F37</f>
        <v>810.60000000000036</v>
      </c>
      <c r="D40" s="763"/>
      <c r="E40" s="763"/>
      <c r="F40" s="763"/>
      <c r="G40" s="763"/>
    </row>
    <row r="41" spans="1:7" ht="27" customHeight="1">
      <c r="A41" s="202" t="s">
        <v>60</v>
      </c>
      <c r="B41" s="792">
        <v>1</v>
      </c>
      <c r="C41" s="202">
        <f ca="1">(B29*SUMPRODUCT(B27:E27,B37:E37)^2)/SUMSQ(B27:E27)</f>
        <v>806.56000000000029</v>
      </c>
      <c r="D41" s="793">
        <f ca="1">C41/C40</f>
        <v>0.99501603750308409</v>
      </c>
      <c r="E41" s="798">
        <f ca="1">D40+C41/B41</f>
        <v>806.56000000000029</v>
      </c>
      <c r="F41" s="794">
        <f ca="1">E41/E43</f>
        <v>259.7630164090728</v>
      </c>
      <c r="G41" s="202">
        <f>FINV(0.05,B41,B43)</f>
        <v>4.4939984180602348</v>
      </c>
    </row>
    <row r="42" spans="1:7" ht="27" customHeight="1">
      <c r="A42" s="202" t="s">
        <v>61</v>
      </c>
      <c r="B42" s="792">
        <f>B40-B41</f>
        <v>2</v>
      </c>
      <c r="C42" s="202">
        <f ca="1">C40-C41</f>
        <v>4.0400000000000773</v>
      </c>
      <c r="D42" s="793">
        <f ca="1">1-D41</f>
        <v>4.9839624969159058E-3</v>
      </c>
      <c r="E42" s="793">
        <f ca="1">D41+C42/B42</f>
        <v>3.0150160375031225</v>
      </c>
      <c r="F42" s="794">
        <f ca="1">E42/E43</f>
        <v>0.97102467320911157</v>
      </c>
      <c r="G42" s="202">
        <f>FINV(0.05,B42,B43)</f>
        <v>3.6337234676434944</v>
      </c>
    </row>
    <row r="43" spans="1:7" s="28" customFormat="1" ht="27" customHeight="1">
      <c r="A43" s="239" t="s">
        <v>62</v>
      </c>
      <c r="B43" s="795">
        <f>(B29-1)*D29</f>
        <v>16</v>
      </c>
      <c r="C43" s="796">
        <f ca="1">SUMSQ(B31:E35)-SUMSQ(B36:E36)/B29</f>
        <v>49.600000000000364</v>
      </c>
      <c r="D43" s="239"/>
      <c r="E43" s="797">
        <f ca="1">D42+C43/B43</f>
        <v>3.1049839624969389</v>
      </c>
      <c r="F43" s="239"/>
      <c r="G43" s="239"/>
    </row>
    <row r="44" spans="1:7" ht="27" customHeight="1">
      <c r="A44" s="142" t="s">
        <v>63</v>
      </c>
      <c r="B44" s="763">
        <f ca="1">SQRT(E43/B29)*TINV(0.05,B43)</f>
        <v>1.6705563753171364</v>
      </c>
      <c r="C44" s="202"/>
      <c r="D44" s="202"/>
      <c r="E44" s="202"/>
      <c r="F44" s="202"/>
      <c r="G44" s="202"/>
    </row>
  </sheetData>
  <sheetCalcPr fullCalcOnLoad="1"/>
  <mergeCells count="4">
    <mergeCell ref="F3:F4"/>
    <mergeCell ref="G3:G4"/>
    <mergeCell ref="F26:F27"/>
    <mergeCell ref="G26:G27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4"/>
  <sheetViews>
    <sheetView zoomScale="110" workbookViewId="0">
      <selection activeCell="K22" sqref="K22"/>
    </sheetView>
  </sheetViews>
  <sheetFormatPr baseColWidth="10" defaultColWidth="13.09765625" defaultRowHeight="19"/>
  <cols>
    <col min="1" max="1" width="11.3984375" style="90" customWidth="1"/>
    <col min="2" max="2" width="10.5" style="90" customWidth="1"/>
    <col min="3" max="3" width="5.8984375" style="90" customWidth="1"/>
    <col min="4" max="4" width="10" style="90" customWidth="1"/>
    <col min="5" max="5" width="12.5" style="90" customWidth="1"/>
    <col min="6" max="6" width="6.3984375" style="90" customWidth="1"/>
    <col min="7" max="7" width="4.19921875" style="90" customWidth="1"/>
    <col min="8" max="8" width="13.5" style="90" customWidth="1"/>
    <col min="9" max="9" width="9.59765625" style="90" customWidth="1"/>
    <col min="10" max="10" width="8.09765625" style="90" customWidth="1"/>
    <col min="11" max="12" width="6" style="90" customWidth="1"/>
    <col min="13" max="15" width="7.3984375" style="90" customWidth="1"/>
    <col min="16" max="16" width="8.296875" style="90" customWidth="1"/>
    <col min="17" max="16384" width="13.09765625" style="90"/>
  </cols>
  <sheetData>
    <row r="1" spans="1:10" s="119" customFormat="1">
      <c r="A1" s="546" t="s">
        <v>396</v>
      </c>
      <c r="B1" s="506" t="s">
        <v>691</v>
      </c>
      <c r="C1" s="375"/>
      <c r="D1" s="548" t="s">
        <v>421</v>
      </c>
      <c r="E1" s="506"/>
      <c r="F1" s="375"/>
      <c r="H1" s="802" t="s">
        <v>611</v>
      </c>
      <c r="I1" s="802"/>
      <c r="J1" s="802"/>
    </row>
    <row r="2" spans="1:10" s="119" customFormat="1" ht="25" customHeight="1">
      <c r="A2" s="547">
        <v>0.05</v>
      </c>
      <c r="B2" s="549">
        <v>0.95</v>
      </c>
      <c r="C2" s="375"/>
      <c r="D2" s="548" t="s">
        <v>107</v>
      </c>
      <c r="E2" s="548" t="s">
        <v>108</v>
      </c>
      <c r="F2" s="375"/>
      <c r="H2" s="409" t="s">
        <v>606</v>
      </c>
      <c r="I2" s="410" t="s">
        <v>607</v>
      </c>
      <c r="J2" s="247" t="s">
        <v>190</v>
      </c>
    </row>
    <row r="3" spans="1:10" s="119" customFormat="1" ht="25">
      <c r="A3" s="152" t="s">
        <v>467</v>
      </c>
      <c r="B3" s="153"/>
      <c r="C3" s="153"/>
      <c r="D3" s="153"/>
      <c r="E3" s="153"/>
      <c r="F3" s="153"/>
      <c r="G3" s="89"/>
      <c r="H3" s="256">
        <f>B5</f>
        <v>99.5</v>
      </c>
      <c r="I3" s="257">
        <f ca="1">B19</f>
        <v>99.570000000000007</v>
      </c>
      <c r="J3" s="309">
        <f ca="1">I11</f>
        <v>0.63183110887674188</v>
      </c>
    </row>
    <row r="4" spans="1:10" ht="27" customHeight="1">
      <c r="A4" s="154" t="s">
        <v>468</v>
      </c>
      <c r="B4" s="153">
        <v>98.6</v>
      </c>
      <c r="C4" s="155" t="s">
        <v>55</v>
      </c>
      <c r="D4" s="153"/>
      <c r="E4" s="153"/>
      <c r="F4" s="153"/>
      <c r="G4" s="89"/>
    </row>
    <row r="5" spans="1:10" ht="27" customHeight="1">
      <c r="A5" s="154" t="s">
        <v>369</v>
      </c>
      <c r="B5" s="153">
        <v>99.5</v>
      </c>
      <c r="C5" s="155" t="s">
        <v>214</v>
      </c>
      <c r="D5" s="153"/>
      <c r="E5" s="153"/>
      <c r="F5" s="153"/>
      <c r="G5" s="89"/>
    </row>
    <row r="6" spans="1:10" ht="27" customHeight="1" thickBot="1">
      <c r="A6" s="377" t="s">
        <v>215</v>
      </c>
      <c r="B6" s="378">
        <v>1</v>
      </c>
      <c r="C6" s="379" t="s">
        <v>136</v>
      </c>
      <c r="D6" s="378"/>
      <c r="E6" s="378"/>
      <c r="F6" s="378"/>
      <c r="G6" s="89"/>
    </row>
    <row r="7" spans="1:10" s="89" customFormat="1" ht="32" customHeight="1" thickTop="1">
      <c r="A7" s="156" t="s">
        <v>687</v>
      </c>
      <c r="B7" s="157"/>
    </row>
    <row r="8" spans="1:10" s="119" customFormat="1">
      <c r="A8" s="308" t="s">
        <v>466</v>
      </c>
      <c r="B8" s="308" t="s">
        <v>688</v>
      </c>
      <c r="D8" s="204" t="s">
        <v>233</v>
      </c>
      <c r="E8" s="202"/>
      <c r="F8" s="64"/>
      <c r="H8" s="204" t="s">
        <v>288</v>
      </c>
      <c r="I8" s="202"/>
      <c r="J8" s="202"/>
    </row>
    <row r="9" spans="1:10" s="89" customFormat="1" ht="31" customHeight="1">
      <c r="A9" s="158">
        <v>1</v>
      </c>
      <c r="B9" s="159">
        <f t="shared" ref="B9:B18" ca="1" si="0">ROUND(NORMINV(RAND(),$B$5,$B$6),1)</f>
        <v>99.1</v>
      </c>
      <c r="D9" s="142" t="s">
        <v>125</v>
      </c>
      <c r="E9" s="220">
        <f ca="1">(B19-B4)/B28</f>
        <v>3.4729097896578374</v>
      </c>
      <c r="F9" s="221"/>
      <c r="H9" s="127" t="s">
        <v>327</v>
      </c>
      <c r="I9" s="143">
        <f ca="1">B28</f>
        <v>0.27930469224643484</v>
      </c>
      <c r="J9" s="202"/>
    </row>
    <row r="10" spans="1:10" ht="30" customHeight="1">
      <c r="A10" s="158">
        <v>2</v>
      </c>
      <c r="B10" s="159">
        <f t="shared" ca="1" si="0"/>
        <v>98.7</v>
      </c>
      <c r="C10" s="3"/>
      <c r="D10" s="142" t="s">
        <v>124</v>
      </c>
      <c r="E10" s="220">
        <f ca="1">TINV(A2*2,B24)</f>
        <v>1.83311292255007</v>
      </c>
      <c r="F10" s="64"/>
      <c r="H10" s="142" t="s">
        <v>579</v>
      </c>
      <c r="I10" s="220">
        <f ca="1">TINV(1-B2,B24)</f>
        <v>2.262157158173582</v>
      </c>
      <c r="J10" s="202"/>
    </row>
    <row r="11" spans="1:10" ht="30" customHeight="1">
      <c r="A11" s="158">
        <v>3</v>
      </c>
      <c r="B11" s="159">
        <f t="shared" ca="1" si="0"/>
        <v>99.7</v>
      </c>
      <c r="C11" s="3"/>
      <c r="D11" s="145" t="s">
        <v>576</v>
      </c>
      <c r="E11" s="146" t="str">
        <f ca="1">IF(E9&gt;E10,"Reject", "Don't reject")</f>
        <v>Reject</v>
      </c>
      <c r="F11" s="64"/>
      <c r="H11" s="145" t="s">
        <v>692</v>
      </c>
      <c r="I11" s="147">
        <f ca="1">I10*B28</f>
        <v>0.63183110887674188</v>
      </c>
      <c r="J11" s="148" t="s">
        <v>689</v>
      </c>
    </row>
    <row r="12" spans="1:10" ht="30" customHeight="1">
      <c r="A12" s="158">
        <v>4</v>
      </c>
      <c r="B12" s="159">
        <f t="shared" ca="1" si="0"/>
        <v>100.6</v>
      </c>
      <c r="C12" s="9"/>
      <c r="D12" s="141"/>
      <c r="E12" s="141"/>
      <c r="F12" s="64"/>
      <c r="H12" s="142" t="s">
        <v>693</v>
      </c>
      <c r="I12" s="223">
        <f ca="1">B19+I11</f>
        <v>100.20183110887675</v>
      </c>
      <c r="J12" s="408" t="s">
        <v>446</v>
      </c>
    </row>
    <row r="13" spans="1:10" ht="30" customHeight="1">
      <c r="A13" s="158">
        <v>5</v>
      </c>
      <c r="B13" s="159">
        <f t="shared" ca="1" si="0"/>
        <v>99.8</v>
      </c>
      <c r="D13" s="219"/>
      <c r="E13" s="219"/>
      <c r="F13" s="64"/>
      <c r="H13" s="142" t="s">
        <v>447</v>
      </c>
      <c r="I13" s="223">
        <f ca="1">B19-I11</f>
        <v>98.938168891123269</v>
      </c>
      <c r="J13" s="408"/>
    </row>
    <row r="14" spans="1:10" ht="30" customHeight="1">
      <c r="A14" s="158">
        <v>6</v>
      </c>
      <c r="B14" s="159">
        <f t="shared" ca="1" si="0"/>
        <v>99.6</v>
      </c>
      <c r="D14" s="64"/>
      <c r="E14" s="64"/>
      <c r="F14" s="64"/>
      <c r="J14" s="122"/>
    </row>
    <row r="15" spans="1:10" ht="30" customHeight="1">
      <c r="A15" s="158">
        <v>7</v>
      </c>
      <c r="B15" s="159">
        <f t="shared" ca="1" si="0"/>
        <v>100.6</v>
      </c>
    </row>
    <row r="16" spans="1:10" ht="30" customHeight="1">
      <c r="A16" s="158">
        <v>8</v>
      </c>
      <c r="B16" s="159">
        <f t="shared" ca="1" si="0"/>
        <v>99</v>
      </c>
    </row>
    <row r="17" spans="1:15" ht="30" customHeight="1">
      <c r="A17" s="158">
        <v>9</v>
      </c>
      <c r="B17" s="159">
        <f t="shared" ca="1" si="0"/>
        <v>98</v>
      </c>
    </row>
    <row r="18" spans="1:15" ht="30" customHeight="1">
      <c r="A18" s="160">
        <v>10</v>
      </c>
      <c r="B18" s="161">
        <f t="shared" ca="1" si="0"/>
        <v>100.6</v>
      </c>
    </row>
    <row r="19" spans="1:15" ht="30" customHeight="1" thickBot="1">
      <c r="A19" s="310" t="s">
        <v>1</v>
      </c>
      <c r="B19" s="311">
        <f ca="1">AVERAGE(B9:B18)</f>
        <v>99.570000000000007</v>
      </c>
      <c r="C19" s="153">
        <f>B5</f>
        <v>99.5</v>
      </c>
      <c r="D19" s="163" t="s">
        <v>220</v>
      </c>
      <c r="E19" s="119"/>
    </row>
    <row r="20" spans="1:15" ht="30" customHeight="1">
      <c r="A20" s="125" t="s">
        <v>232</v>
      </c>
      <c r="B20" s="126"/>
      <c r="C20" s="135"/>
      <c r="D20" s="119"/>
      <c r="E20" s="119"/>
    </row>
    <row r="21" spans="1:15" ht="30" customHeight="1">
      <c r="A21" s="127" t="s">
        <v>112</v>
      </c>
      <c r="B21" s="128">
        <f ca="1">SUM(B9:B18)</f>
        <v>995.7</v>
      </c>
    </row>
    <row r="22" spans="1:15" s="119" customFormat="1" ht="30" customHeight="1">
      <c r="A22" s="127" t="s">
        <v>113</v>
      </c>
      <c r="B22" s="129">
        <f ca="1">COUNT(B9:B18)</f>
        <v>10</v>
      </c>
      <c r="C22" s="90"/>
      <c r="D22" s="90"/>
      <c r="E22" s="90"/>
    </row>
    <row r="23" spans="1:15" ht="27" customHeight="1">
      <c r="A23" s="130" t="s">
        <v>114</v>
      </c>
      <c r="B23" s="131">
        <f ca="1">SUMSQ(B9:B18)-B21^2/B22</f>
        <v>7.0209999999788124</v>
      </c>
    </row>
    <row r="24" spans="1:15" ht="27" customHeight="1">
      <c r="A24" s="132" t="s">
        <v>115</v>
      </c>
      <c r="B24" s="133">
        <f ca="1">B22-1</f>
        <v>9</v>
      </c>
      <c r="O24" s="119"/>
    </row>
    <row r="25" spans="1:15" ht="27" customHeight="1">
      <c r="A25" s="127" t="s">
        <v>33</v>
      </c>
      <c r="B25" s="134">
        <f ca="1">B23/B24</f>
        <v>0.78011111110875697</v>
      </c>
    </row>
    <row r="26" spans="1:15" ht="27" customHeight="1">
      <c r="A26" s="127" t="s">
        <v>227</v>
      </c>
      <c r="B26" s="134">
        <f ca="1">SQRT(B25)</f>
        <v>0.8832389886711054</v>
      </c>
      <c r="C26" s="376">
        <f>B6</f>
        <v>1</v>
      </c>
      <c r="D26" s="163" t="s">
        <v>507</v>
      </c>
      <c r="E26" s="119"/>
    </row>
    <row r="27" spans="1:15" ht="27" customHeight="1">
      <c r="A27" s="127" t="s">
        <v>326</v>
      </c>
      <c r="B27" s="134">
        <f ca="1">B25/B22</f>
        <v>7.8011111110875692E-2</v>
      </c>
    </row>
    <row r="28" spans="1:15" ht="27" customHeight="1">
      <c r="A28" s="127" t="s">
        <v>327</v>
      </c>
      <c r="B28" s="134">
        <f ca="1">SQRT(B27)</f>
        <v>0.27930469224643484</v>
      </c>
    </row>
    <row r="29" spans="1:15" ht="27" customHeight="1"/>
    <row r="30" spans="1:15" ht="27" customHeight="1"/>
    <row r="31" spans="1:15" ht="27" customHeight="1">
      <c r="A31" s="9"/>
    </row>
    <row r="32" spans="1:15" s="119" customFormat="1" ht="30" customHeight="1"/>
    <row r="33" spans="1:1" ht="27" customHeight="1"/>
    <row r="34" spans="1:1" ht="27" customHeight="1"/>
    <row r="35" spans="1:1" ht="27" customHeight="1"/>
    <row r="36" spans="1:1" ht="27" customHeight="1"/>
    <row r="37" spans="1:1" ht="27" customHeight="1">
      <c r="A37" s="9"/>
    </row>
    <row r="38" spans="1:1" s="119" customFormat="1" ht="30" customHeight="1"/>
    <row r="39" spans="1:1" ht="27" customHeight="1"/>
    <row r="40" spans="1:1" ht="27" customHeight="1"/>
    <row r="41" spans="1:1" s="119" customFormat="1" ht="27" customHeight="1"/>
    <row r="42" spans="1:1" ht="27" customHeight="1"/>
    <row r="43" spans="1:1" ht="27" customHeight="1"/>
    <row r="44" spans="1:1" ht="27" customHeight="1"/>
  </sheetData>
  <sheetCalcPr fullCalcOnLoad="1"/>
  <mergeCells count="1">
    <mergeCell ref="H1:J1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opLeftCell="A2" zoomScale="135" zoomScaleNormal="140" zoomScalePageLayoutView="140" workbookViewId="0">
      <selection activeCell="C7" sqref="C7"/>
    </sheetView>
  </sheetViews>
  <sheetFormatPr baseColWidth="10" defaultColWidth="13.09765625" defaultRowHeight="19"/>
  <cols>
    <col min="1" max="1" width="13.09765625" style="119"/>
    <col min="2" max="5" width="9.3984375" style="26" customWidth="1"/>
    <col min="6" max="6" width="3.69921875" style="26" customWidth="1"/>
    <col min="7" max="7" width="9.69921875" style="26" customWidth="1"/>
    <col min="8" max="8" width="9.796875" style="26" customWidth="1"/>
    <col min="9" max="9" width="3.09765625" style="26" customWidth="1"/>
    <col min="10" max="10" width="12.09765625" style="26" customWidth="1"/>
    <col min="11" max="11" width="9.3984375" style="26" customWidth="1"/>
    <col min="12" max="12" width="6.296875" style="26" customWidth="1"/>
    <col min="13" max="16" width="9.69921875" style="26" customWidth="1"/>
    <col min="17" max="16384" width="13.09765625" style="26"/>
  </cols>
  <sheetData>
    <row r="1" spans="1:12">
      <c r="A1" s="164" t="s">
        <v>638</v>
      </c>
      <c r="B1" s="153"/>
      <c r="C1" s="154" t="s">
        <v>448</v>
      </c>
      <c r="D1" s="155">
        <v>1</v>
      </c>
      <c r="E1" s="153"/>
      <c r="G1" s="180" t="s">
        <v>186</v>
      </c>
      <c r="H1" s="172" t="s">
        <v>604</v>
      </c>
      <c r="I1" s="804" t="s">
        <v>605</v>
      </c>
      <c r="J1" s="804"/>
      <c r="K1" s="240" t="s">
        <v>465</v>
      </c>
    </row>
    <row r="2" spans="1:12">
      <c r="A2" s="380">
        <v>4</v>
      </c>
      <c r="B2" s="153"/>
      <c r="C2" s="803" t="s">
        <v>449</v>
      </c>
      <c r="D2" s="803"/>
      <c r="E2" s="803"/>
      <c r="G2" s="180"/>
      <c r="H2" s="153">
        <f>E3</f>
        <v>3</v>
      </c>
      <c r="I2" s="805">
        <f ca="1">E17</f>
        <v>3.1</v>
      </c>
      <c r="J2" s="805"/>
      <c r="K2" s="126">
        <f ca="1">K7</f>
        <v>1.0366506411216632</v>
      </c>
    </row>
    <row r="3" spans="1:12" ht="27" customHeight="1">
      <c r="A3" s="165"/>
      <c r="B3" s="153"/>
      <c r="C3" s="153">
        <v>10</v>
      </c>
      <c r="D3" s="153">
        <v>13</v>
      </c>
      <c r="E3" s="153">
        <f>D3-C3</f>
        <v>3</v>
      </c>
    </row>
    <row r="4" spans="1:12" s="119" customFormat="1" ht="27" customHeight="1">
      <c r="A4" s="165"/>
      <c r="B4" s="226" t="s">
        <v>396</v>
      </c>
      <c r="C4" s="227">
        <v>0.05</v>
      </c>
      <c r="D4" s="210" t="s">
        <v>691</v>
      </c>
      <c r="E4" s="211">
        <v>0.95</v>
      </c>
      <c r="G4" s="125" t="s">
        <v>233</v>
      </c>
      <c r="H4" s="139"/>
      <c r="I4" s="89"/>
      <c r="J4" s="125" t="s">
        <v>697</v>
      </c>
      <c r="K4" s="140"/>
    </row>
    <row r="5" spans="1:12" s="89" customFormat="1" ht="21" customHeight="1">
      <c r="A5" s="165"/>
      <c r="B5" s="216"/>
      <c r="C5" s="217" t="s">
        <v>319</v>
      </c>
      <c r="D5" s="217" t="s">
        <v>320</v>
      </c>
      <c r="E5" s="217" t="s">
        <v>321</v>
      </c>
      <c r="G5" s="127" t="s">
        <v>696</v>
      </c>
      <c r="H5" s="134">
        <f ca="1">E17/E27</f>
        <v>6.764754597315763</v>
      </c>
      <c r="I5" s="26"/>
      <c r="J5" s="127" t="s">
        <v>327</v>
      </c>
      <c r="K5" s="255">
        <f ca="1">E27</f>
        <v>0.45825756949558405</v>
      </c>
    </row>
    <row r="6" spans="1:12" s="89" customFormat="1" ht="45" customHeight="1">
      <c r="A6" s="171" t="s">
        <v>322</v>
      </c>
      <c r="B6" s="218" t="s">
        <v>323</v>
      </c>
      <c r="C6" s="218" t="s">
        <v>643</v>
      </c>
      <c r="D6" s="218" t="s">
        <v>121</v>
      </c>
      <c r="E6" s="218" t="s">
        <v>149</v>
      </c>
      <c r="G6" s="127" t="s">
        <v>578</v>
      </c>
      <c r="H6" s="134">
        <f ca="1">TINV(C4*2,E23)</f>
        <v>1.83311292255007</v>
      </c>
      <c r="I6" s="26"/>
      <c r="J6" s="127" t="s">
        <v>579</v>
      </c>
      <c r="K6" s="134">
        <f ca="1">TINV(1-E4,E23)</f>
        <v>2.262157158173582</v>
      </c>
      <c r="L6" s="136"/>
    </row>
    <row r="7" spans="1:12" ht="30" customHeight="1">
      <c r="A7" s="153">
        <f t="shared" ref="A7:A16" ca="1" si="0">NORMINV(RAND(),0,$A$2)</f>
        <v>3.0169602255081998</v>
      </c>
      <c r="B7" s="158">
        <v>1</v>
      </c>
      <c r="C7" s="158">
        <f t="shared" ref="C7:D16" ca="1" si="1">ROUND(NORMINV(RAND(),C$3,$D$1)+$A7,0)</f>
        <v>13</v>
      </c>
      <c r="D7" s="158">
        <f t="shared" ca="1" si="1"/>
        <v>17</v>
      </c>
      <c r="E7" s="158">
        <f ca="1">D7-C7</f>
        <v>4</v>
      </c>
      <c r="F7" s="3"/>
      <c r="G7" s="144" t="s">
        <v>576</v>
      </c>
      <c r="H7" s="150" t="str">
        <f ca="1">IF(H5&gt;H6,"Reject", "Don'to reject")</f>
        <v>Reject</v>
      </c>
      <c r="J7" s="144" t="s">
        <v>671</v>
      </c>
      <c r="K7" s="149">
        <f ca="1">K6*E27</f>
        <v>1.0366506411216632</v>
      </c>
      <c r="L7" s="121"/>
    </row>
    <row r="8" spans="1:12" ht="30" customHeight="1">
      <c r="A8" s="153">
        <f t="shared" ca="1" si="0"/>
        <v>-2.2068638153450566</v>
      </c>
      <c r="B8" s="158">
        <v>2</v>
      </c>
      <c r="C8" s="158">
        <f t="shared" ca="1" si="1"/>
        <v>8</v>
      </c>
      <c r="D8" s="158">
        <f t="shared" ca="1" si="1"/>
        <v>10</v>
      </c>
      <c r="E8" s="158">
        <f t="shared" ref="E8:E16" ca="1" si="2">D8-C8</f>
        <v>2</v>
      </c>
      <c r="F8" s="3"/>
      <c r="G8" s="141"/>
      <c r="H8" s="141"/>
      <c r="J8" s="127" t="s">
        <v>577</v>
      </c>
      <c r="K8" s="134">
        <f ca="1">E17+K7</f>
        <v>4.1366506411216637</v>
      </c>
      <c r="L8" s="121"/>
    </row>
    <row r="9" spans="1:12" ht="30" customHeight="1">
      <c r="A9" s="153">
        <f t="shared" ca="1" si="0"/>
        <v>-2.9915146619994708</v>
      </c>
      <c r="B9" s="158">
        <v>3</v>
      </c>
      <c r="C9" s="158">
        <f t="shared" ca="1" si="1"/>
        <v>8</v>
      </c>
      <c r="D9" s="158">
        <f t="shared" ca="1" si="1"/>
        <v>11</v>
      </c>
      <c r="E9" s="158">
        <f t="shared" ca="1" si="2"/>
        <v>3</v>
      </c>
      <c r="F9" s="9"/>
      <c r="G9" s="141"/>
      <c r="H9" s="141"/>
      <c r="J9" s="127" t="s">
        <v>447</v>
      </c>
      <c r="K9" s="134">
        <f ca="1">E17-K7</f>
        <v>2.0633493588783369</v>
      </c>
      <c r="L9" s="121"/>
    </row>
    <row r="10" spans="1:12" ht="30" customHeight="1">
      <c r="A10" s="153">
        <f t="shared" ca="1" si="0"/>
        <v>-3.2976011530840799</v>
      </c>
      <c r="B10" s="158">
        <v>4</v>
      </c>
      <c r="C10" s="158">
        <f t="shared" ca="1" si="1"/>
        <v>6</v>
      </c>
      <c r="D10" s="158">
        <f t="shared" ca="1" si="1"/>
        <v>9</v>
      </c>
      <c r="E10" s="158">
        <f t="shared" ca="1" si="2"/>
        <v>3</v>
      </c>
    </row>
    <row r="11" spans="1:12" ht="30" customHeight="1">
      <c r="A11" s="153">
        <f t="shared" ca="1" si="0"/>
        <v>0.36815214099920024</v>
      </c>
      <c r="B11" s="158">
        <v>5</v>
      </c>
      <c r="C11" s="158">
        <f t="shared" ca="1" si="1"/>
        <v>11</v>
      </c>
      <c r="D11" s="158">
        <f t="shared" ca="1" si="1"/>
        <v>13</v>
      </c>
      <c r="E11" s="158">
        <f t="shared" ca="1" si="2"/>
        <v>2</v>
      </c>
    </row>
    <row r="12" spans="1:12" ht="30" customHeight="1">
      <c r="A12" s="153">
        <f t="shared" ca="1" si="0"/>
        <v>-9.0626295619251849</v>
      </c>
      <c r="B12" s="158">
        <v>6</v>
      </c>
      <c r="C12" s="158">
        <f t="shared" ca="1" si="1"/>
        <v>-1</v>
      </c>
      <c r="D12" s="158">
        <f t="shared" ca="1" si="1"/>
        <v>5</v>
      </c>
      <c r="E12" s="158">
        <f t="shared" ca="1" si="2"/>
        <v>6</v>
      </c>
      <c r="G12" s="222"/>
      <c r="H12" s="222"/>
    </row>
    <row r="13" spans="1:12" ht="30" customHeight="1">
      <c r="A13" s="153">
        <f t="shared" ca="1" si="0"/>
        <v>-2.2937154905265533</v>
      </c>
      <c r="B13" s="158">
        <v>7</v>
      </c>
      <c r="C13" s="158">
        <f t="shared" ca="1" si="1"/>
        <v>9</v>
      </c>
      <c r="D13" s="158">
        <f t="shared" ca="1" si="1"/>
        <v>11</v>
      </c>
      <c r="E13" s="158">
        <f t="shared" ca="1" si="2"/>
        <v>2</v>
      </c>
    </row>
    <row r="14" spans="1:12" ht="30" customHeight="1">
      <c r="A14" s="153">
        <f t="shared" ca="1" si="0"/>
        <v>-0.42352853387695255</v>
      </c>
      <c r="B14" s="158">
        <v>8</v>
      </c>
      <c r="C14" s="158">
        <f t="shared" ca="1" si="1"/>
        <v>8</v>
      </c>
      <c r="D14" s="158">
        <f t="shared" ca="1" si="1"/>
        <v>13</v>
      </c>
      <c r="E14" s="158">
        <f t="shared" ca="1" si="2"/>
        <v>5</v>
      </c>
    </row>
    <row r="15" spans="1:12" ht="30" customHeight="1">
      <c r="A15" s="153">
        <f t="shared" ca="1" si="0"/>
        <v>-0.32665901819488097</v>
      </c>
      <c r="B15" s="158">
        <v>9</v>
      </c>
      <c r="C15" s="158">
        <f t="shared" ca="1" si="1"/>
        <v>10</v>
      </c>
      <c r="D15" s="158">
        <f t="shared" ca="1" si="1"/>
        <v>12</v>
      </c>
      <c r="E15" s="158">
        <f t="shared" ca="1" si="2"/>
        <v>2</v>
      </c>
    </row>
    <row r="16" spans="1:12" ht="30" customHeight="1">
      <c r="A16" s="166">
        <f t="shared" ca="1" si="0"/>
        <v>6.8243210012145958</v>
      </c>
      <c r="B16" s="160">
        <v>10</v>
      </c>
      <c r="C16" s="160">
        <f t="shared" ca="1" si="1"/>
        <v>17</v>
      </c>
      <c r="D16" s="160">
        <f t="shared" ca="1" si="1"/>
        <v>19</v>
      </c>
      <c r="E16" s="160">
        <f t="shared" ca="1" si="2"/>
        <v>2</v>
      </c>
    </row>
    <row r="17" spans="1:5" ht="30" customHeight="1">
      <c r="A17" s="167">
        <f ca="1">AVERAGE(A7:A16)</f>
        <v>-1.0393078867230183</v>
      </c>
      <c r="B17" s="157" t="s">
        <v>150</v>
      </c>
      <c r="C17" s="162">
        <f ca="1">AVERAGE(C7:C16)</f>
        <v>8.9</v>
      </c>
      <c r="D17" s="162">
        <f ca="1">AVERAGE(D7:D16)</f>
        <v>12</v>
      </c>
      <c r="E17" s="162">
        <f ca="1">AVERAGE(E7:E16)</f>
        <v>3.1</v>
      </c>
    </row>
    <row r="18" spans="1:5" ht="33" customHeight="1">
      <c r="A18" s="168"/>
      <c r="B18" s="157"/>
      <c r="C18" s="169" t="s">
        <v>151</v>
      </c>
      <c r="D18" s="169" t="s">
        <v>39</v>
      </c>
      <c r="E18" s="169" t="s">
        <v>89</v>
      </c>
    </row>
    <row r="19" spans="1:5" ht="23" customHeight="1" thickBot="1">
      <c r="A19" s="381"/>
      <c r="B19" s="276" t="s">
        <v>90</v>
      </c>
      <c r="C19" s="382">
        <f ca="1">STDEV(C7:C16)</f>
        <v>4.6773686809762793</v>
      </c>
      <c r="D19" s="382">
        <f t="shared" ref="D19:E19" ca="1" si="3">STDEV(D7:D16)</f>
        <v>3.9440531887330774</v>
      </c>
      <c r="E19" s="382">
        <f t="shared" ca="1" si="3"/>
        <v>1.4491376746189439</v>
      </c>
    </row>
    <row r="20" spans="1:5" ht="27" customHeight="1" thickTop="1">
      <c r="B20" s="126"/>
      <c r="C20" s="137" t="s">
        <v>285</v>
      </c>
      <c r="D20" s="127" t="s">
        <v>615</v>
      </c>
      <c r="E20" s="129">
        <f ca="1">SUM(E7:E16)</f>
        <v>31</v>
      </c>
    </row>
    <row r="21" spans="1:5" s="119" customFormat="1" ht="30" customHeight="1">
      <c r="B21" s="126"/>
      <c r="C21" s="126"/>
      <c r="D21" s="127" t="s">
        <v>113</v>
      </c>
      <c r="E21" s="129">
        <f ca="1">COUNT(E7:E16)</f>
        <v>10</v>
      </c>
    </row>
    <row r="22" spans="1:5">
      <c r="B22" s="126"/>
      <c r="C22" s="126"/>
      <c r="D22" s="130" t="s">
        <v>114</v>
      </c>
      <c r="E22" s="138">
        <f ca="1">SUMSQ(E7:E16)-E20^2/E21</f>
        <v>18.900000000000006</v>
      </c>
    </row>
    <row r="23" spans="1:5">
      <c r="B23" s="126"/>
      <c r="C23" s="126"/>
      <c r="D23" s="132" t="s">
        <v>115</v>
      </c>
      <c r="E23" s="133">
        <f ca="1">E21-1</f>
        <v>9</v>
      </c>
    </row>
    <row r="24" spans="1:5" ht="20">
      <c r="B24" s="126"/>
      <c r="C24" s="126"/>
      <c r="D24" s="127" t="s">
        <v>33</v>
      </c>
      <c r="E24" s="134">
        <f ca="1">E22/E23</f>
        <v>2.1000000000000005</v>
      </c>
    </row>
    <row r="25" spans="1:5">
      <c r="B25" s="126"/>
      <c r="C25" s="126"/>
      <c r="D25" s="127" t="s">
        <v>227</v>
      </c>
      <c r="E25" s="134">
        <f ca="1">SQRT(E24)</f>
        <v>1.4491376746189439</v>
      </c>
    </row>
    <row r="26" spans="1:5" ht="20">
      <c r="B26" s="126"/>
      <c r="C26" s="126"/>
      <c r="D26" s="127" t="s">
        <v>326</v>
      </c>
      <c r="E26" s="134">
        <f ca="1">E24/E21</f>
        <v>0.21000000000000005</v>
      </c>
    </row>
    <row r="27" spans="1:5">
      <c r="B27" s="126"/>
      <c r="C27" s="126"/>
      <c r="D27" s="127" t="s">
        <v>327</v>
      </c>
      <c r="E27" s="134">
        <f ca="1">SQRT(E26)</f>
        <v>0.45825756949558405</v>
      </c>
    </row>
    <row r="30" spans="1:5" s="119" customFormat="1">
      <c r="D30" s="9"/>
    </row>
    <row r="31" spans="1:5" s="119" customFormat="1" ht="30" customHeight="1"/>
    <row r="36" spans="4:5">
      <c r="D36" s="9"/>
      <c r="E36" s="119"/>
    </row>
    <row r="37" spans="4:5" s="119" customFormat="1" ht="30" customHeight="1"/>
  </sheetData>
  <sheetCalcPr fullCalcOnLoad="1"/>
  <mergeCells count="3">
    <mergeCell ref="C2:E2"/>
    <mergeCell ref="I1:J1"/>
    <mergeCell ref="I2:J2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S48"/>
  <sheetViews>
    <sheetView zoomScale="105" workbookViewId="0">
      <selection activeCell="N22" sqref="N22"/>
    </sheetView>
  </sheetViews>
  <sheetFormatPr baseColWidth="10" defaultColWidth="9.3984375" defaultRowHeight="27" customHeight="1"/>
  <cols>
    <col min="1" max="1" width="2.09765625" style="8" customWidth="1"/>
    <col min="2" max="5" width="9.09765625" style="8" customWidth="1"/>
    <col min="6" max="6" width="2.796875" style="8" customWidth="1"/>
    <col min="7" max="11" width="10.59765625" style="8" customWidth="1"/>
    <col min="12" max="12" width="12.09765625" style="8" customWidth="1"/>
    <col min="13" max="13" width="10.59765625" style="8" customWidth="1"/>
    <col min="14" max="14" width="11.19921875" style="8" customWidth="1"/>
    <col min="15" max="16" width="9" style="8" customWidth="1"/>
    <col min="17" max="17" width="3.59765625" style="8" customWidth="1"/>
    <col min="18" max="20" width="10.69921875" style="8" customWidth="1"/>
    <col min="21" max="21" width="8.3984375" style="8" customWidth="1"/>
    <col min="22" max="16384" width="9.3984375" style="8"/>
  </cols>
  <sheetData>
    <row r="1" spans="2:19" ht="27" customHeight="1">
      <c r="B1" s="181" t="s">
        <v>187</v>
      </c>
      <c r="C1" s="182">
        <f>SQRT('WSD-Incentive'!A2^2+'WSD-Incentive'!D1^2)</f>
        <v>4.1231056256176606</v>
      </c>
      <c r="D1" s="181" t="s">
        <v>187</v>
      </c>
      <c r="E1" s="155">
        <f>C1</f>
        <v>4.1231056256176606</v>
      </c>
      <c r="G1" s="29" t="s">
        <v>207</v>
      </c>
      <c r="H1" s="263" t="s">
        <v>290</v>
      </c>
      <c r="I1" s="305" t="s">
        <v>106</v>
      </c>
      <c r="J1" s="306" t="s">
        <v>223</v>
      </c>
      <c r="K1" s="245" t="s">
        <v>456</v>
      </c>
      <c r="L1" s="150" t="s">
        <v>152</v>
      </c>
    </row>
    <row r="2" spans="2:19" ht="27" customHeight="1">
      <c r="B2" s="181" t="s">
        <v>188</v>
      </c>
      <c r="C2" s="183">
        <v>10</v>
      </c>
      <c r="D2" s="181" t="s">
        <v>273</v>
      </c>
      <c r="E2" s="183">
        <v>13</v>
      </c>
      <c r="G2" s="48"/>
      <c r="H2" s="304">
        <v>1</v>
      </c>
      <c r="I2" s="153">
        <f>C2</f>
        <v>10</v>
      </c>
      <c r="J2" s="157">
        <f ca="1">C14</f>
        <v>9.875</v>
      </c>
      <c r="K2" s="150">
        <f ca="1">H33</f>
        <v>3.8486020602644468</v>
      </c>
      <c r="L2" s="150">
        <f ca="1">K33</f>
        <v>1.1338138156971971</v>
      </c>
    </row>
    <row r="3" spans="2:19" ht="27" customHeight="1">
      <c r="B3" s="208" t="s">
        <v>586</v>
      </c>
      <c r="C3" s="209">
        <v>0.05</v>
      </c>
      <c r="D3" s="210" t="s">
        <v>123</v>
      </c>
      <c r="E3" s="211">
        <v>0.95</v>
      </c>
      <c r="G3" s="48"/>
      <c r="H3" s="304">
        <v>10</v>
      </c>
      <c r="I3" s="153">
        <f>E2</f>
        <v>13</v>
      </c>
      <c r="J3" s="157">
        <f ca="1">E14</f>
        <v>13.375</v>
      </c>
      <c r="K3" s="150">
        <f ca="1">I33</f>
        <v>3.8486020602644468</v>
      </c>
      <c r="L3" s="150">
        <f ca="1">L33</f>
        <v>4.1666468931475951</v>
      </c>
    </row>
    <row r="4" spans="2:19" ht="27" customHeight="1">
      <c r="B4" s="808" t="s">
        <v>274</v>
      </c>
      <c r="C4" s="808"/>
      <c r="D4" s="808"/>
      <c r="E4" s="808"/>
      <c r="R4" s="123"/>
      <c r="S4" s="124"/>
    </row>
    <row r="5" spans="2:19" ht="27" customHeight="1">
      <c r="B5" s="807" t="s">
        <v>370</v>
      </c>
      <c r="C5" s="807"/>
      <c r="D5" s="807" t="s">
        <v>695</v>
      </c>
      <c r="E5" s="807"/>
      <c r="G5" s="203" t="s">
        <v>585</v>
      </c>
      <c r="H5" s="142"/>
      <c r="I5" s="199"/>
      <c r="J5" s="173"/>
      <c r="K5" s="806" t="s">
        <v>206</v>
      </c>
      <c r="L5" s="806"/>
      <c r="N5" s="173"/>
      <c r="Q5" s="173"/>
    </row>
    <row r="6" spans="2:19" ht="27" customHeight="1">
      <c r="B6" s="170" t="s">
        <v>275</v>
      </c>
      <c r="C6" s="158">
        <f ca="1">ROUND(NORMINV(RAND(),C$2,C$1),0)</f>
        <v>9</v>
      </c>
      <c r="D6" s="170" t="s">
        <v>481</v>
      </c>
      <c r="E6" s="158">
        <f ca="1">ROUND(NORMINV(RAND(),E$2,E$1),0)</f>
        <v>10</v>
      </c>
      <c r="G6" s="142"/>
      <c r="H6" s="142" t="s">
        <v>297</v>
      </c>
      <c r="I6" s="199">
        <f ca="1">D15/D27</f>
        <v>1.3792218940144993</v>
      </c>
      <c r="J6" s="173"/>
      <c r="K6" s="142" t="s">
        <v>618</v>
      </c>
      <c r="L6" s="201">
        <f ca="1">D27</f>
        <v>2.5376627322907082</v>
      </c>
      <c r="N6" s="173"/>
      <c r="Q6" s="173"/>
    </row>
    <row r="7" spans="2:19" ht="27" customHeight="1">
      <c r="B7" s="170" t="s">
        <v>482</v>
      </c>
      <c r="C7" s="158">
        <f t="shared" ref="C7:C13" ca="1" si="0">ROUND(NORMINV(RAND(),C$2,C$1),0)</f>
        <v>12</v>
      </c>
      <c r="D7" s="170" t="s">
        <v>498</v>
      </c>
      <c r="E7" s="158">
        <f t="shared" ref="E7:E13" ca="1" si="1">ROUND(NORMINV(RAND(),E$2,E$1),0)</f>
        <v>20</v>
      </c>
      <c r="G7" s="202"/>
      <c r="H7" s="142" t="s">
        <v>298</v>
      </c>
      <c r="I7" s="199">
        <f ca="1">TINV(C3*2,D26)</f>
        <v>1.7613101150619617</v>
      </c>
      <c r="J7" s="173"/>
      <c r="K7" s="142" t="s">
        <v>299</v>
      </c>
      <c r="L7" s="201">
        <f ca="1">H32</f>
        <v>2.1447866812820848</v>
      </c>
      <c r="N7" s="173"/>
      <c r="Q7" s="173"/>
    </row>
    <row r="8" spans="2:19" ht="27" customHeight="1">
      <c r="B8" s="170" t="s">
        <v>316</v>
      </c>
      <c r="C8" s="158">
        <f t="shared" ca="1" si="0"/>
        <v>8</v>
      </c>
      <c r="D8" s="170" t="s">
        <v>317</v>
      </c>
      <c r="E8" s="158">
        <f t="shared" ca="1" si="1"/>
        <v>21</v>
      </c>
      <c r="G8" s="142"/>
      <c r="H8" s="145" t="s">
        <v>576</v>
      </c>
      <c r="I8" s="307" t="str">
        <f ca="1">IF(I6&gt;I7,"Reject", "Don't reject")</f>
        <v>Don't reject</v>
      </c>
      <c r="J8" s="173"/>
      <c r="K8" s="145" t="s">
        <v>635</v>
      </c>
      <c r="L8" s="206">
        <f ca="1">L6*L7</f>
        <v>5.4427452298030152</v>
      </c>
      <c r="N8" s="173"/>
      <c r="Q8" s="173"/>
    </row>
    <row r="9" spans="2:19" ht="27" customHeight="1">
      <c r="B9" s="170" t="s">
        <v>690</v>
      </c>
      <c r="C9" s="158">
        <f t="shared" ca="1" si="0"/>
        <v>10</v>
      </c>
      <c r="D9" s="170" t="s">
        <v>642</v>
      </c>
      <c r="E9" s="158">
        <f t="shared" ca="1" si="1"/>
        <v>13</v>
      </c>
      <c r="G9" s="202"/>
      <c r="H9" s="202"/>
      <c r="I9" s="202"/>
      <c r="J9" s="173"/>
      <c r="K9" s="142" t="s">
        <v>616</v>
      </c>
      <c r="L9" s="201">
        <f ca="1">D15+L8</f>
        <v>8.9427452298030161</v>
      </c>
      <c r="N9" s="173"/>
      <c r="Q9" s="173"/>
    </row>
    <row r="10" spans="2:19" ht="27" customHeight="1">
      <c r="B10" s="186" t="s">
        <v>282</v>
      </c>
      <c r="C10" s="158">
        <f t="shared" ca="1" si="0"/>
        <v>11</v>
      </c>
      <c r="D10" s="186" t="s">
        <v>450</v>
      </c>
      <c r="E10" s="158">
        <f t="shared" ca="1" si="1"/>
        <v>7</v>
      </c>
      <c r="G10" s="202"/>
      <c r="H10" s="202"/>
      <c r="I10" s="202"/>
      <c r="J10" s="173"/>
      <c r="K10" s="142" t="s">
        <v>617</v>
      </c>
      <c r="L10" s="201">
        <f ca="1">D15-L8</f>
        <v>-1.9427452298030152</v>
      </c>
      <c r="N10" s="173"/>
      <c r="Q10" s="173"/>
    </row>
    <row r="11" spans="2:19" ht="27" customHeight="1">
      <c r="B11" s="186" t="s">
        <v>451</v>
      </c>
      <c r="C11" s="158">
        <f t="shared" ca="1" si="0"/>
        <v>9</v>
      </c>
      <c r="D11" s="186" t="s">
        <v>645</v>
      </c>
      <c r="E11" s="158">
        <f t="shared" ca="1" si="1"/>
        <v>9</v>
      </c>
      <c r="J11" s="173"/>
      <c r="N11" s="173"/>
      <c r="Q11" s="173"/>
    </row>
    <row r="12" spans="2:19" ht="27" customHeight="1">
      <c r="B12" s="186" t="s">
        <v>646</v>
      </c>
      <c r="C12" s="158">
        <f t="shared" ca="1" si="0"/>
        <v>9</v>
      </c>
      <c r="D12" s="186" t="s">
        <v>473</v>
      </c>
      <c r="E12" s="158">
        <f t="shared" ca="1" si="1"/>
        <v>13</v>
      </c>
    </row>
    <row r="13" spans="2:19" ht="27" customHeight="1" thickBot="1">
      <c r="B13" s="214" t="s">
        <v>487</v>
      </c>
      <c r="C13" s="215">
        <f t="shared" ca="1" si="0"/>
        <v>11</v>
      </c>
      <c r="D13" s="214" t="s">
        <v>619</v>
      </c>
      <c r="E13" s="215">
        <f t="shared" ca="1" si="1"/>
        <v>14</v>
      </c>
    </row>
    <row r="14" spans="2:19" ht="27" customHeight="1">
      <c r="B14" s="187" t="s">
        <v>325</v>
      </c>
      <c r="C14" s="188">
        <f ca="1">AVERAGE(C6:C13)</f>
        <v>9.875</v>
      </c>
      <c r="D14" s="187" t="s">
        <v>169</v>
      </c>
      <c r="E14" s="188">
        <f ca="1">AVERAGE(E6:E13)</f>
        <v>13.375</v>
      </c>
    </row>
    <row r="15" spans="2:19" ht="27" customHeight="1">
      <c r="B15" s="187"/>
      <c r="C15" s="187" t="s">
        <v>488</v>
      </c>
      <c r="D15" s="189">
        <f ca="1">E14-C14</f>
        <v>3.5</v>
      </c>
      <c r="E15" s="190"/>
    </row>
    <row r="16" spans="2:19" ht="27" customHeight="1">
      <c r="B16" s="127" t="s">
        <v>82</v>
      </c>
      <c r="C16" s="133">
        <f ca="1">COUNT(C6:C13)</f>
        <v>8</v>
      </c>
      <c r="D16" s="126"/>
      <c r="E16" s="133">
        <f ca="1">COUNT(E6:E13)</f>
        <v>8</v>
      </c>
      <c r="F16" s="151"/>
      <c r="G16" s="5"/>
    </row>
    <row r="17" spans="2:12" ht="27" customHeight="1">
      <c r="B17" s="194" t="s">
        <v>83</v>
      </c>
      <c r="C17" s="195">
        <f ca="1">SUM(C6:C13)</f>
        <v>79</v>
      </c>
      <c r="D17" s="194"/>
      <c r="E17" s="195">
        <f ca="1">SUM(E6:E13)</f>
        <v>107</v>
      </c>
    </row>
    <row r="18" spans="2:12" ht="27" customHeight="1">
      <c r="B18" s="130" t="s">
        <v>84</v>
      </c>
      <c r="C18" s="138">
        <f ca="1">SUMSQ(C6:C13)-C17^2/C16</f>
        <v>12.875</v>
      </c>
      <c r="D18" s="138"/>
      <c r="E18" s="138">
        <f ca="1">SUMSQ(E6:E13)-E17^2/E16</f>
        <v>173.875</v>
      </c>
    </row>
    <row r="19" spans="2:12" ht="27" customHeight="1">
      <c r="B19" s="127" t="s">
        <v>174</v>
      </c>
      <c r="C19" s="133">
        <f ca="1">C16-1</f>
        <v>7</v>
      </c>
      <c r="D19" s="126"/>
      <c r="E19" s="133">
        <f ca="1">E16-1</f>
        <v>7</v>
      </c>
    </row>
    <row r="20" spans="2:12" ht="27" customHeight="1">
      <c r="B20" s="127" t="s">
        <v>175</v>
      </c>
      <c r="C20" s="131">
        <f ca="1">C18/C19</f>
        <v>1.8392857142857142</v>
      </c>
      <c r="D20" s="131"/>
      <c r="E20" s="131">
        <f ca="1">E18/E19</f>
        <v>24.839285714285715</v>
      </c>
    </row>
    <row r="21" spans="2:12" ht="27" customHeight="1">
      <c r="B21" s="127" t="s">
        <v>336</v>
      </c>
      <c r="C21" s="131">
        <f ca="1">C19/(C$19+E$19)</f>
        <v>0.5</v>
      </c>
      <c r="D21" s="131"/>
      <c r="E21" s="131">
        <f ca="1">E19/(E$19+G$19)</f>
        <v>1</v>
      </c>
    </row>
    <row r="22" spans="2:12" ht="27" customHeight="1">
      <c r="B22" s="127" t="s">
        <v>154</v>
      </c>
      <c r="C22" s="131">
        <f ca="1">SQRT(C20)</f>
        <v>1.3562026818605375</v>
      </c>
      <c r="D22" s="131"/>
      <c r="E22" s="131">
        <f ca="1">SQRT(E20)</f>
        <v>4.9839026589898117</v>
      </c>
    </row>
    <row r="23" spans="2:12" ht="27" customHeight="1">
      <c r="B23" s="127" t="s">
        <v>155</v>
      </c>
      <c r="C23" s="131">
        <f ca="1">C20/C16</f>
        <v>0.22991071428571427</v>
      </c>
      <c r="D23" s="131"/>
      <c r="E23" s="131">
        <f ca="1">E20/E16</f>
        <v>3.1049107142857144</v>
      </c>
    </row>
    <row r="24" spans="2:12" ht="27" customHeight="1">
      <c r="B24" s="127" t="s">
        <v>156</v>
      </c>
      <c r="C24" s="131">
        <f ca="1">SQRT(C23)</f>
        <v>0.47949005650348397</v>
      </c>
      <c r="D24" s="131"/>
      <c r="E24" s="131">
        <f ca="1">SQRT(E23)</f>
        <v>1.7620756834726805</v>
      </c>
    </row>
    <row r="25" spans="2:12" ht="27" customHeight="1">
      <c r="B25" s="127"/>
      <c r="C25" s="127" t="s">
        <v>538</v>
      </c>
      <c r="D25" s="196">
        <f ca="1">SUMPRODUCT(C20:E20,C21:E21)</f>
        <v>25.758928571428573</v>
      </c>
      <c r="E25" s="196"/>
    </row>
    <row r="26" spans="2:12" ht="27" customHeight="1">
      <c r="B26" s="127"/>
      <c r="C26" s="127" t="s">
        <v>270</v>
      </c>
      <c r="D26" s="197">
        <f ca="1">C19+E19</f>
        <v>14</v>
      </c>
      <c r="E26" s="198"/>
    </row>
    <row r="27" spans="2:12" ht="27" customHeight="1">
      <c r="B27" s="127"/>
      <c r="C27" s="127" t="s">
        <v>698</v>
      </c>
      <c r="D27" s="196">
        <f ca="1">SQRT(D25/C16+D25/E16)</f>
        <v>2.5376627322907082</v>
      </c>
      <c r="E27" s="198"/>
    </row>
    <row r="28" spans="2:12" ht="27" customHeight="1">
      <c r="E28" s="84"/>
    </row>
    <row r="29" spans="2:12" ht="27" customHeight="1">
      <c r="E29" s="84"/>
      <c r="G29" s="809" t="s">
        <v>243</v>
      </c>
      <c r="H29" s="809"/>
      <c r="I29" s="203"/>
      <c r="J29" s="203" t="s">
        <v>263</v>
      </c>
      <c r="K29" s="203"/>
      <c r="L29" s="203"/>
    </row>
    <row r="30" spans="2:12" ht="27" customHeight="1">
      <c r="E30" s="84"/>
      <c r="G30" s="193"/>
      <c r="H30" s="193"/>
      <c r="I30" s="202"/>
      <c r="J30" s="142" t="s">
        <v>264</v>
      </c>
      <c r="K30" s="201">
        <f ca="1">C22</f>
        <v>1.3562026818605375</v>
      </c>
      <c r="L30" s="201">
        <f ca="1">E22</f>
        <v>4.9839026589898117</v>
      </c>
    </row>
    <row r="31" spans="2:12" ht="27" customHeight="1">
      <c r="E31" s="84"/>
      <c r="G31" s="142" t="s">
        <v>587</v>
      </c>
      <c r="H31" s="201">
        <f ca="1">SQRT($D$25/C$16)</f>
        <v>1.7943985263671423</v>
      </c>
      <c r="I31" s="201">
        <f ca="1">SQRT($D$25/E$16)</f>
        <v>1.7943985263671423</v>
      </c>
      <c r="J31" s="142" t="s">
        <v>265</v>
      </c>
      <c r="K31" s="201">
        <f ca="1">K30/SQRT(C$16)</f>
        <v>0.47949005650348397</v>
      </c>
      <c r="L31" s="201">
        <f ca="1">L30/SQRT(E$16)</f>
        <v>1.7620756834726805</v>
      </c>
    </row>
    <row r="32" spans="2:12" ht="27" customHeight="1">
      <c r="B32" s="2"/>
      <c r="C32" s="2"/>
      <c r="D32" s="88"/>
      <c r="E32" s="84"/>
      <c r="G32" s="142" t="s">
        <v>299</v>
      </c>
      <c r="H32" s="201">
        <f ca="1">TINV(1-$E$3,$D$26)</f>
        <v>2.1447866812820848</v>
      </c>
      <c r="I32" s="201">
        <f ca="1">TINV(1-$E$3,$D$26)</f>
        <v>2.1447866812820848</v>
      </c>
      <c r="J32" s="142" t="s">
        <v>299</v>
      </c>
      <c r="K32" s="201">
        <f ca="1">TINV(1-$E$3,C19)</f>
        <v>2.3646242509493183</v>
      </c>
      <c r="L32" s="201">
        <f ca="1">TINV(1-$E$3,E19)</f>
        <v>2.3646242509493183</v>
      </c>
    </row>
    <row r="33" spans="2:12" ht="27" customHeight="1">
      <c r="E33" s="84"/>
      <c r="G33" s="145" t="s">
        <v>635</v>
      </c>
      <c r="H33" s="206">
        <f ca="1">H31*H32</f>
        <v>3.8486020602644468</v>
      </c>
      <c r="I33" s="206">
        <f ca="1">I31*I32</f>
        <v>3.8486020602644468</v>
      </c>
      <c r="J33" s="145" t="s">
        <v>266</v>
      </c>
      <c r="K33" s="207">
        <f ca="1">K31*K32</f>
        <v>1.1338138156971971</v>
      </c>
      <c r="L33" s="207">
        <f ca="1">L31*L32</f>
        <v>4.1666468931475951</v>
      </c>
    </row>
    <row r="34" spans="2:12" ht="27" customHeight="1">
      <c r="B34" s="2"/>
      <c r="C34" s="84"/>
      <c r="E34" s="84"/>
      <c r="G34" s="142" t="s">
        <v>616</v>
      </c>
      <c r="H34" s="201">
        <f ca="1">C14+H33</f>
        <v>13.723602060264447</v>
      </c>
      <c r="I34" s="201">
        <f ca="1">E14+I33</f>
        <v>17.223602060264447</v>
      </c>
      <c r="J34" s="142" t="s">
        <v>616</v>
      </c>
      <c r="K34" s="205">
        <f ca="1">C14+K33</f>
        <v>11.008813815697197</v>
      </c>
      <c r="L34" s="205">
        <f ca="1">E14+L33</f>
        <v>17.541646893147593</v>
      </c>
    </row>
    <row r="35" spans="2:12" ht="27" customHeight="1">
      <c r="G35" s="142" t="s">
        <v>617</v>
      </c>
      <c r="H35" s="201">
        <f ca="1">C14-H33</f>
        <v>6.0263979397355527</v>
      </c>
      <c r="I35" s="201">
        <f ca="1">E14-I33</f>
        <v>9.5263979397355527</v>
      </c>
      <c r="J35" s="142" t="s">
        <v>617</v>
      </c>
      <c r="K35" s="205">
        <f ca="1">C14-K33</f>
        <v>8.7411861843028031</v>
      </c>
      <c r="L35" s="205">
        <f ca="1">E14-L33</f>
        <v>9.2083531068524049</v>
      </c>
    </row>
    <row r="41" spans="2:12" ht="27" customHeight="1">
      <c r="B41" s="21"/>
      <c r="C41" s="49"/>
      <c r="D41" s="85"/>
      <c r="E41" s="49"/>
    </row>
    <row r="42" spans="2:12" ht="27" customHeight="1">
      <c r="B42" s="21"/>
      <c r="E42" s="49"/>
    </row>
    <row r="43" spans="2:12" ht="27" customHeight="1">
      <c r="B43" s="21"/>
      <c r="E43" s="49"/>
    </row>
    <row r="44" spans="2:12" ht="27" customHeight="1">
      <c r="B44" s="21"/>
      <c r="E44" s="49"/>
    </row>
    <row r="45" spans="2:12" ht="27" customHeight="1">
      <c r="B45" s="21"/>
      <c r="E45" s="49"/>
    </row>
    <row r="46" spans="2:12" ht="27" customHeight="1">
      <c r="B46" s="21"/>
      <c r="E46" s="49"/>
    </row>
    <row r="47" spans="2:12" ht="27" customHeight="1">
      <c r="B47" s="21"/>
      <c r="E47" s="49"/>
    </row>
    <row r="48" spans="2:12" ht="27" customHeight="1">
      <c r="B48" s="21"/>
      <c r="C48" s="49"/>
      <c r="D48" s="85"/>
      <c r="E48" s="49"/>
    </row>
  </sheetData>
  <sheetCalcPr fullCalcOnLoad="1"/>
  <mergeCells count="5">
    <mergeCell ref="K5:L5"/>
    <mergeCell ref="B5:C5"/>
    <mergeCell ref="D5:E5"/>
    <mergeCell ref="B4:E4"/>
    <mergeCell ref="G29:H29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Q50"/>
  <sheetViews>
    <sheetView workbookViewId="0">
      <selection activeCell="C3" sqref="C3"/>
    </sheetView>
  </sheetViews>
  <sheetFormatPr baseColWidth="10" defaultColWidth="9.3984375" defaultRowHeight="27" customHeight="1"/>
  <cols>
    <col min="1" max="1" width="2.09765625" style="8" customWidth="1"/>
    <col min="2" max="5" width="9.09765625" style="8" customWidth="1"/>
    <col min="6" max="6" width="2.796875" style="8" customWidth="1"/>
    <col min="7" max="13" width="10.69921875" style="8" customWidth="1"/>
    <col min="14" max="14" width="3.796875" style="8" customWidth="1"/>
    <col min="15" max="16" width="9" style="8" customWidth="1"/>
    <col min="17" max="17" width="3.59765625" style="8" customWidth="1"/>
    <col min="18" max="20" width="10.69921875" style="8" customWidth="1"/>
    <col min="21" max="21" width="8.3984375" style="8" customWidth="1"/>
    <col min="22" max="16384" width="9.3984375" style="8"/>
  </cols>
  <sheetData>
    <row r="1" spans="2:17" ht="27" customHeight="1">
      <c r="B1" s="181" t="s">
        <v>188</v>
      </c>
      <c r="C1" s="183">
        <v>9</v>
      </c>
      <c r="D1" s="181" t="s">
        <v>273</v>
      </c>
      <c r="E1" s="183">
        <v>12</v>
      </c>
      <c r="G1" s="302" t="s">
        <v>455</v>
      </c>
      <c r="H1" s="303" t="s">
        <v>191</v>
      </c>
      <c r="I1" s="292" t="s">
        <v>106</v>
      </c>
      <c r="J1" s="293" t="s">
        <v>223</v>
      </c>
      <c r="K1" s="247" t="s">
        <v>456</v>
      </c>
      <c r="L1" s="247" t="s">
        <v>289</v>
      </c>
    </row>
    <row r="2" spans="2:17" ht="27" customHeight="1">
      <c r="B2" s="181" t="s">
        <v>187</v>
      </c>
      <c r="C2" s="182">
        <v>4</v>
      </c>
      <c r="D2" s="181" t="s">
        <v>187</v>
      </c>
      <c r="E2" s="155">
        <f>C2</f>
        <v>4</v>
      </c>
      <c r="G2" s="298"/>
      <c r="H2" s="299" t="s">
        <v>192</v>
      </c>
      <c r="I2" s="300">
        <f>C1</f>
        <v>9</v>
      </c>
      <c r="J2" s="301">
        <f ca="1">C16</f>
        <v>10.75</v>
      </c>
      <c r="K2" s="150">
        <f ca="1">H34</f>
        <v>3.0560855406050003</v>
      </c>
      <c r="L2" s="150">
        <f ca="1">L34</f>
        <v>3.4830223778904124</v>
      </c>
    </row>
    <row r="3" spans="2:17" ht="27" customHeight="1">
      <c r="B3" s="208" t="s">
        <v>586</v>
      </c>
      <c r="C3" s="209">
        <v>0.05</v>
      </c>
      <c r="D3" s="210" t="s">
        <v>141</v>
      </c>
      <c r="E3" s="211">
        <v>0.95</v>
      </c>
      <c r="G3" s="298"/>
      <c r="H3" s="299" t="s">
        <v>454</v>
      </c>
      <c r="I3" s="300">
        <f>E1</f>
        <v>12</v>
      </c>
      <c r="J3" s="301">
        <f ca="1">E16</f>
        <v>11.5</v>
      </c>
      <c r="K3" s="150">
        <f ca="1">I34</f>
        <v>4.3219576192959037</v>
      </c>
      <c r="L3" s="150">
        <f ca="1">M34</f>
        <v>4.947313833630294</v>
      </c>
    </row>
    <row r="4" spans="2:17" ht="27" customHeight="1">
      <c r="B4" s="808" t="s">
        <v>528</v>
      </c>
      <c r="C4" s="808"/>
      <c r="D4" s="808"/>
      <c r="E4" s="808"/>
    </row>
    <row r="5" spans="2:17" ht="27" customHeight="1">
      <c r="B5" s="807" t="s">
        <v>529</v>
      </c>
      <c r="C5" s="807"/>
      <c r="D5" s="807" t="s">
        <v>536</v>
      </c>
      <c r="E5" s="807"/>
      <c r="G5" s="203" t="s">
        <v>267</v>
      </c>
      <c r="H5" s="142"/>
      <c r="I5" s="199"/>
      <c r="J5" s="173"/>
      <c r="K5" s="806" t="s">
        <v>532</v>
      </c>
      <c r="L5" s="806"/>
      <c r="N5" s="173"/>
      <c r="Q5" s="173"/>
    </row>
    <row r="6" spans="2:17" ht="27" customHeight="1">
      <c r="B6" s="170" t="s">
        <v>489</v>
      </c>
      <c r="C6" s="158">
        <f t="shared" ref="C6:C13" ca="1" si="0">ROUND(NORMINV(RAND(),C$1,C$2),0)</f>
        <v>4</v>
      </c>
      <c r="D6" s="170" t="s">
        <v>620</v>
      </c>
      <c r="E6" s="158">
        <f ca="1">ROUND(NORMINV(RAND(),E$1,E$2),0)</f>
        <v>8</v>
      </c>
      <c r="G6" s="202"/>
      <c r="H6" s="142" t="s">
        <v>271</v>
      </c>
      <c r="I6" s="199">
        <f ca="1">D17/D28</f>
        <v>0.31570203370643457</v>
      </c>
      <c r="J6" s="173"/>
      <c r="K6" s="142" t="s">
        <v>295</v>
      </c>
      <c r="L6" s="201">
        <f ca="1">D28</f>
        <v>2.3756578036409199</v>
      </c>
      <c r="N6" s="173"/>
      <c r="Q6" s="173"/>
    </row>
    <row r="7" spans="2:17" ht="27" customHeight="1">
      <c r="B7" s="170" t="s">
        <v>621</v>
      </c>
      <c r="C7" s="158">
        <f t="shared" ca="1" si="0"/>
        <v>9</v>
      </c>
      <c r="D7" s="170" t="s">
        <v>490</v>
      </c>
      <c r="E7" s="158">
        <f ca="1">ROUND(NORMINV(RAND(),E$1,E$2),0)</f>
        <v>10</v>
      </c>
      <c r="G7" s="142"/>
      <c r="H7" s="142" t="s">
        <v>508</v>
      </c>
      <c r="I7" s="199">
        <f ca="1">TINV(C3*2,D27)</f>
        <v>1.8124611021972235</v>
      </c>
      <c r="J7" s="173"/>
      <c r="K7" s="142" t="s">
        <v>394</v>
      </c>
      <c r="L7" s="201">
        <f ca="1">H33</f>
        <v>2.2281388424258681</v>
      </c>
      <c r="N7" s="173"/>
      <c r="Q7" s="173"/>
    </row>
    <row r="8" spans="2:17" ht="27" customHeight="1">
      <c r="B8" s="170" t="s">
        <v>491</v>
      </c>
      <c r="C8" s="158">
        <f t="shared" ca="1" si="0"/>
        <v>11</v>
      </c>
      <c r="D8" s="170" t="s">
        <v>492</v>
      </c>
      <c r="E8" s="158">
        <f ca="1">ROUND(NORMINV(RAND(),E$1,E$2),0)</f>
        <v>15</v>
      </c>
      <c r="G8" s="202"/>
      <c r="H8" s="145" t="s">
        <v>576</v>
      </c>
      <c r="I8" s="307" t="str">
        <f ca="1">IF(I6&gt;I7,"Reject", "Fail to reject")</f>
        <v>Fail to reject</v>
      </c>
      <c r="J8" s="173"/>
      <c r="K8" s="145" t="s">
        <v>635</v>
      </c>
      <c r="L8" s="206">
        <f ca="1">L6*L7</f>
        <v>5.29329542860446</v>
      </c>
      <c r="N8" s="173"/>
      <c r="Q8" s="173"/>
    </row>
    <row r="9" spans="2:17" ht="27" customHeight="1">
      <c r="B9" s="170" t="s">
        <v>493</v>
      </c>
      <c r="C9" s="158">
        <f t="shared" ca="1" si="0"/>
        <v>9</v>
      </c>
      <c r="D9" s="170" t="s">
        <v>534</v>
      </c>
      <c r="E9" s="158">
        <f ca="1">ROUND(NORMINV(RAND(),E$1,E$2),0)</f>
        <v>13</v>
      </c>
      <c r="G9" s="202"/>
      <c r="H9" s="202"/>
      <c r="I9" s="202"/>
      <c r="J9" s="173"/>
      <c r="K9" s="142" t="s">
        <v>464</v>
      </c>
      <c r="L9" s="201">
        <f ca="1">D17+L8</f>
        <v>6.04329542860446</v>
      </c>
      <c r="N9" s="173"/>
      <c r="Q9" s="173"/>
    </row>
    <row r="10" spans="2:17" ht="27" customHeight="1">
      <c r="B10" s="186" t="s">
        <v>539</v>
      </c>
      <c r="C10" s="158">
        <f t="shared" ca="1" si="0"/>
        <v>17</v>
      </c>
      <c r="D10" s="186"/>
      <c r="E10" s="158"/>
      <c r="G10" s="202"/>
      <c r="H10" s="202"/>
      <c r="I10" s="202"/>
      <c r="J10" s="173"/>
      <c r="K10" s="142" t="s">
        <v>463</v>
      </c>
      <c r="L10" s="201">
        <f ca="1">D17-L8</f>
        <v>-4.54329542860446</v>
      </c>
      <c r="N10" s="173"/>
      <c r="Q10" s="173"/>
    </row>
    <row r="11" spans="2:17" ht="27" customHeight="1">
      <c r="B11" s="186" t="s">
        <v>540</v>
      </c>
      <c r="C11" s="158">
        <f t="shared" ca="1" si="0"/>
        <v>16</v>
      </c>
      <c r="D11" s="186"/>
      <c r="E11" s="158"/>
      <c r="J11" s="173"/>
      <c r="N11" s="173"/>
      <c r="Q11" s="173"/>
    </row>
    <row r="12" spans="2:17" ht="27" customHeight="1">
      <c r="B12" s="186" t="s">
        <v>27</v>
      </c>
      <c r="C12" s="158">
        <f t="shared" ca="1" si="0"/>
        <v>9</v>
      </c>
      <c r="D12" s="186"/>
      <c r="E12" s="158"/>
    </row>
    <row r="13" spans="2:17" ht="27" customHeight="1" thickBot="1">
      <c r="B13" s="214" t="s">
        <v>28</v>
      </c>
      <c r="C13" s="215">
        <f t="shared" ca="1" si="0"/>
        <v>11</v>
      </c>
      <c r="D13" s="214"/>
      <c r="E13" s="215"/>
    </row>
    <row r="14" spans="2:17" ht="27" customHeight="1">
      <c r="B14" s="187" t="s">
        <v>29</v>
      </c>
      <c r="C14" s="191">
        <f ca="1">SUM(C6:C13)</f>
        <v>86</v>
      </c>
      <c r="D14" s="187" t="s">
        <v>30</v>
      </c>
      <c r="E14" s="191">
        <f ca="1">SUM(E6:E13)</f>
        <v>46</v>
      </c>
    </row>
    <row r="15" spans="2:17" ht="27" customHeight="1">
      <c r="B15" s="170" t="s">
        <v>423</v>
      </c>
      <c r="C15" s="192">
        <f ca="1">COUNT(C6:C13)</f>
        <v>8</v>
      </c>
      <c r="D15" s="170" t="s">
        <v>22</v>
      </c>
      <c r="E15" s="192">
        <f ca="1">COUNT(E6:E13)</f>
        <v>4</v>
      </c>
    </row>
    <row r="16" spans="2:17" ht="27" customHeight="1">
      <c r="B16" s="187" t="s">
        <v>153</v>
      </c>
      <c r="C16" s="190">
        <f ca="1">C14/C15</f>
        <v>10.75</v>
      </c>
      <c r="D16" s="187" t="s">
        <v>683</v>
      </c>
      <c r="E16" s="190">
        <f ca="1">E14/E15</f>
        <v>11.5</v>
      </c>
    </row>
    <row r="17" spans="2:13" ht="27" customHeight="1">
      <c r="B17" s="187"/>
      <c r="C17" s="213" t="s">
        <v>699</v>
      </c>
      <c r="D17" s="189">
        <f ca="1">E16-C16</f>
        <v>0.75</v>
      </c>
      <c r="E17" s="188"/>
    </row>
    <row r="18" spans="2:13" ht="27" customHeight="1">
      <c r="B18" s="126"/>
      <c r="C18" s="126"/>
      <c r="D18" s="126"/>
      <c r="E18" s="126"/>
    </row>
    <row r="19" spans="2:13" ht="27" customHeight="1">
      <c r="B19" s="130" t="s">
        <v>509</v>
      </c>
      <c r="C19" s="138">
        <f ca="1">SUMSQ(C6:C13)-C14^2/C15</f>
        <v>121.5</v>
      </c>
      <c r="D19" s="138"/>
      <c r="E19" s="138">
        <f ca="1">SUMSQ(E6:E13)-E14^2/E15</f>
        <v>29</v>
      </c>
    </row>
    <row r="20" spans="2:13" ht="27" customHeight="1">
      <c r="B20" s="127" t="s">
        <v>510</v>
      </c>
      <c r="C20" s="133">
        <f ca="1">C15-1</f>
        <v>7</v>
      </c>
      <c r="D20" s="126"/>
      <c r="E20" s="133">
        <f ca="1">E15-1</f>
        <v>3</v>
      </c>
    </row>
    <row r="21" spans="2:13" ht="27" customHeight="1">
      <c r="B21" s="127" t="s">
        <v>537</v>
      </c>
      <c r="C21" s="131">
        <f ca="1">C19/C20</f>
        <v>17.357142857142858</v>
      </c>
      <c r="D21" s="131"/>
      <c r="E21" s="131">
        <f ca="1">E19/E20</f>
        <v>9.6666666666666661</v>
      </c>
    </row>
    <row r="22" spans="2:13" ht="27" customHeight="1">
      <c r="B22" s="127" t="s">
        <v>374</v>
      </c>
      <c r="C22" s="131">
        <f ca="1">C20/($C20+$E20)</f>
        <v>0.7</v>
      </c>
      <c r="D22" s="131"/>
      <c r="E22" s="131">
        <f ca="1">E20/($C20+$E20)</f>
        <v>0.3</v>
      </c>
    </row>
    <row r="23" spans="2:13" ht="27" customHeight="1">
      <c r="B23" s="127" t="s">
        <v>375</v>
      </c>
      <c r="C23" s="131">
        <f ca="1">SQRT(C21)</f>
        <v>4.1661904489764821</v>
      </c>
      <c r="D23" s="131"/>
      <c r="E23" s="131">
        <f ca="1">SQRT(E21)</f>
        <v>3.1091263510296048</v>
      </c>
    </row>
    <row r="24" spans="2:13" ht="27" customHeight="1">
      <c r="B24" s="127" t="s">
        <v>376</v>
      </c>
      <c r="C24" s="131">
        <f ca="1">C21/C15</f>
        <v>2.1696428571428572</v>
      </c>
      <c r="D24" s="131"/>
      <c r="E24" s="131">
        <f ca="1">E21/E15</f>
        <v>2.4166666666666665</v>
      </c>
    </row>
    <row r="25" spans="2:13" ht="27" customHeight="1">
      <c r="B25" s="127" t="s">
        <v>377</v>
      </c>
      <c r="C25" s="131">
        <f ca="1">SQRT(C24)</f>
        <v>1.4729707590929486</v>
      </c>
      <c r="D25" s="131"/>
      <c r="E25" s="131">
        <f ca="1">SQRT(E24)</f>
        <v>1.5545631755148024</v>
      </c>
    </row>
    <row r="26" spans="2:13" ht="27" customHeight="1">
      <c r="B26" s="127"/>
      <c r="C26" s="127" t="s">
        <v>378</v>
      </c>
      <c r="D26" s="196">
        <f ca="1">SUMPRODUCT(C21:E21,C22:E22)</f>
        <v>15.05</v>
      </c>
      <c r="E26" s="196"/>
    </row>
    <row r="27" spans="2:13" ht="27" customHeight="1">
      <c r="B27" s="127"/>
      <c r="C27" s="127" t="s">
        <v>270</v>
      </c>
      <c r="D27" s="197">
        <f ca="1">C20+E20</f>
        <v>10</v>
      </c>
      <c r="E27" s="198"/>
    </row>
    <row r="28" spans="2:13" ht="27" customHeight="1">
      <c r="B28" s="127"/>
      <c r="C28" s="127" t="s">
        <v>295</v>
      </c>
      <c r="D28" s="196">
        <f ca="1">SQRT(D26/C15+D26/E15)</f>
        <v>2.3756578036409199</v>
      </c>
      <c r="E28" s="198"/>
    </row>
    <row r="29" spans="2:13" ht="27" customHeight="1">
      <c r="B29" s="127"/>
      <c r="C29" s="127"/>
      <c r="D29" s="196"/>
      <c r="E29" s="198"/>
    </row>
    <row r="30" spans="2:13" ht="27" customHeight="1">
      <c r="E30" s="84"/>
      <c r="G30" s="810" t="s">
        <v>243</v>
      </c>
      <c r="H30" s="810"/>
      <c r="I30" s="203"/>
      <c r="K30" s="204" t="s">
        <v>229</v>
      </c>
      <c r="L30" s="203"/>
      <c r="M30" s="203"/>
    </row>
    <row r="31" spans="2:13" ht="27" customHeight="1">
      <c r="E31" s="84"/>
      <c r="G31" s="193"/>
      <c r="H31" s="193"/>
      <c r="I31" s="200"/>
      <c r="K31" s="142" t="s">
        <v>636</v>
      </c>
      <c r="L31" s="201">
        <f ca="1">C23</f>
        <v>4.1661904489764821</v>
      </c>
      <c r="M31" s="201">
        <f ca="1">E23</f>
        <v>3.1091263510296048</v>
      </c>
    </row>
    <row r="32" spans="2:13" ht="27" customHeight="1">
      <c r="E32" s="84"/>
      <c r="G32" s="142" t="s">
        <v>228</v>
      </c>
      <c r="H32" s="201">
        <f ca="1">SQRT($D$26/C15)</f>
        <v>1.3715866724345203</v>
      </c>
      <c r="I32" s="201">
        <f ca="1">SQRT($D$26/E15)</f>
        <v>1.9397164741270823</v>
      </c>
      <c r="K32" s="142" t="s">
        <v>140</v>
      </c>
      <c r="L32" s="201">
        <f ca="1">L31/SQRT(C15)</f>
        <v>1.4729707590929486</v>
      </c>
      <c r="M32" s="201">
        <f ca="1">M31/SQRT(E15)</f>
        <v>1.5545631755148024</v>
      </c>
    </row>
    <row r="33" spans="2:13" ht="27" customHeight="1">
      <c r="E33" s="84"/>
      <c r="G33" s="142" t="s">
        <v>394</v>
      </c>
      <c r="H33" s="201">
        <f ca="1">TINV(1-$E$3,$D$27)</f>
        <v>2.2281388424258681</v>
      </c>
      <c r="I33" s="201">
        <f ca="1">TINV(1-$E$3,$D$27)</f>
        <v>2.2281388424258681</v>
      </c>
      <c r="K33" s="142" t="s">
        <v>634</v>
      </c>
      <c r="L33" s="201">
        <f ca="1">TINV(1-$E$3,C20)</f>
        <v>2.3646242509493183</v>
      </c>
      <c r="M33" s="201">
        <f ca="1">TINV(1-$E$3,E20)</f>
        <v>3.1824463048868781</v>
      </c>
    </row>
    <row r="34" spans="2:13" ht="27" customHeight="1">
      <c r="B34" s="2"/>
      <c r="C34" s="2"/>
      <c r="D34" s="88"/>
      <c r="E34" s="84"/>
      <c r="G34" s="145" t="s">
        <v>635</v>
      </c>
      <c r="H34" s="206">
        <f ca="1">H32*H33</f>
        <v>3.0560855406050003</v>
      </c>
      <c r="I34" s="206">
        <f ca="1">I32*I33</f>
        <v>4.3219576192959037</v>
      </c>
      <c r="K34" s="145" t="s">
        <v>266</v>
      </c>
      <c r="L34" s="207">
        <f ca="1">L32*L33</f>
        <v>3.4830223778904124</v>
      </c>
      <c r="M34" s="207">
        <f ca="1">M32*M33</f>
        <v>4.947313833630294</v>
      </c>
    </row>
    <row r="35" spans="2:13" ht="27" customHeight="1">
      <c r="E35" s="84"/>
      <c r="G35" s="142" t="s">
        <v>464</v>
      </c>
      <c r="H35" s="201">
        <f ca="1">C16+H34</f>
        <v>13.806085540605</v>
      </c>
      <c r="I35" s="201">
        <f ca="1">E16+I34</f>
        <v>15.821957619295905</v>
      </c>
      <c r="K35" s="142" t="s">
        <v>464</v>
      </c>
      <c r="L35" s="205">
        <f ca="1">C16+L34</f>
        <v>14.233022377890412</v>
      </c>
      <c r="M35" s="205">
        <f ca="1">E16+M34</f>
        <v>16.447313833630293</v>
      </c>
    </row>
    <row r="36" spans="2:13" ht="27" customHeight="1">
      <c r="B36" s="2"/>
      <c r="C36" s="84"/>
      <c r="E36" s="84"/>
      <c r="G36" s="142" t="s">
        <v>463</v>
      </c>
      <c r="H36" s="201">
        <f ca="1">C16-H34</f>
        <v>7.6939144593949997</v>
      </c>
      <c r="I36" s="201">
        <f ca="1">E16-I34</f>
        <v>7.1780423807040963</v>
      </c>
      <c r="K36" s="142" t="s">
        <v>463</v>
      </c>
      <c r="L36" s="205">
        <f ca="1">C16-L34</f>
        <v>7.2669776221095876</v>
      </c>
      <c r="M36" s="205">
        <f ca="1">E16-M34</f>
        <v>6.552686166369706</v>
      </c>
    </row>
    <row r="43" spans="2:13" ht="27" customHeight="1">
      <c r="B43" s="21"/>
      <c r="C43" s="49"/>
      <c r="D43" s="85"/>
      <c r="E43" s="49"/>
    </row>
    <row r="44" spans="2:13" ht="27" customHeight="1">
      <c r="B44" s="21"/>
      <c r="E44" s="49"/>
    </row>
    <row r="45" spans="2:13" ht="27" customHeight="1">
      <c r="B45" s="21"/>
      <c r="E45" s="49"/>
    </row>
    <row r="46" spans="2:13" ht="27" customHeight="1">
      <c r="B46" s="21"/>
      <c r="E46" s="49"/>
    </row>
    <row r="47" spans="2:13" ht="27" customHeight="1">
      <c r="B47" s="21"/>
      <c r="E47" s="49"/>
    </row>
    <row r="48" spans="2:13" ht="27" customHeight="1">
      <c r="B48" s="21"/>
      <c r="E48" s="49"/>
    </row>
    <row r="49" spans="2:5" ht="27" customHeight="1">
      <c r="B49" s="21"/>
      <c r="E49" s="49"/>
    </row>
    <row r="50" spans="2:5" ht="27" customHeight="1">
      <c r="B50" s="21"/>
      <c r="C50" s="49"/>
      <c r="D50" s="85"/>
      <c r="E50" s="49"/>
    </row>
  </sheetData>
  <sheetCalcPr fullCalcOnLoad="1"/>
  <mergeCells count="5">
    <mergeCell ref="G30:H30"/>
    <mergeCell ref="K5:L5"/>
    <mergeCell ref="B4:E4"/>
    <mergeCell ref="B5:C5"/>
    <mergeCell ref="D5:E5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0"/>
  <sheetViews>
    <sheetView zoomScale="95" workbookViewId="0">
      <selection activeCell="B11" sqref="B11:B12"/>
    </sheetView>
  </sheetViews>
  <sheetFormatPr baseColWidth="10" defaultRowHeight="27" customHeight="1"/>
  <cols>
    <col min="1" max="11" width="6.296875" style="8" customWidth="1"/>
    <col min="12" max="12" width="3.09765625" style="8" customWidth="1"/>
    <col min="13" max="13" width="14" style="8" customWidth="1"/>
    <col min="14" max="14" width="10.69921875" style="8"/>
    <col min="15" max="15" width="9.3984375" style="8" customWidth="1"/>
    <col min="16" max="17" width="10.69921875" style="8"/>
    <col min="18" max="20" width="9.8984375" style="8" customWidth="1"/>
    <col min="21" max="21" width="10.59765625" style="8" customWidth="1"/>
    <col min="22" max="22" width="5.09765625" style="8" customWidth="1"/>
    <col min="23" max="23" width="10.69921875" style="8" customWidth="1"/>
    <col min="24" max="16384" width="10.69921875" style="8"/>
  </cols>
  <sheetData>
    <row r="1" spans="1:20" ht="27" customHeight="1">
      <c r="A1" s="244"/>
      <c r="B1" s="181" t="s">
        <v>188</v>
      </c>
      <c r="C1" s="183">
        <v>90</v>
      </c>
      <c r="D1" s="181" t="s">
        <v>273</v>
      </c>
      <c r="E1" s="183">
        <v>80</v>
      </c>
      <c r="F1" s="181" t="s">
        <v>279</v>
      </c>
      <c r="G1" s="183">
        <v>70</v>
      </c>
      <c r="H1" s="181" t="s">
        <v>280</v>
      </c>
      <c r="I1" s="183">
        <v>65</v>
      </c>
      <c r="J1" s="184"/>
      <c r="K1" s="185"/>
      <c r="M1" s="248" t="s">
        <v>637</v>
      </c>
      <c r="N1" s="384">
        <f ca="1">AVERAGE(C12:I12)</f>
        <v>77.25</v>
      </c>
      <c r="P1" s="48"/>
      <c r="Q1" s="48"/>
      <c r="R1" s="29" t="s">
        <v>455</v>
      </c>
      <c r="S1" s="48"/>
      <c r="T1" s="48"/>
    </row>
    <row r="2" spans="1:20" ht="27" customHeight="1">
      <c r="A2" s="244"/>
      <c r="B2" s="154" t="s">
        <v>187</v>
      </c>
      <c r="C2" s="155">
        <v>5</v>
      </c>
      <c r="D2" s="154" t="s">
        <v>281</v>
      </c>
      <c r="E2" s="155">
        <f>C2</f>
        <v>5</v>
      </c>
      <c r="F2" s="154" t="s">
        <v>283</v>
      </c>
      <c r="G2" s="155">
        <f>C2</f>
        <v>5</v>
      </c>
      <c r="H2" s="154" t="s">
        <v>284</v>
      </c>
      <c r="I2" s="155">
        <f>C2</f>
        <v>5</v>
      </c>
      <c r="J2" s="244"/>
      <c r="K2" s="244"/>
      <c r="M2" s="248" t="s">
        <v>237</v>
      </c>
      <c r="N2" s="250">
        <f ca="1">SUMSQ(C12:I12)-SUM(C12:I12)^2/C3</f>
        <v>534.18999999999869</v>
      </c>
      <c r="P2" s="291" t="s">
        <v>558</v>
      </c>
      <c r="Q2" s="292" t="s">
        <v>106</v>
      </c>
      <c r="R2" s="293" t="s">
        <v>223</v>
      </c>
      <c r="S2" s="247" t="s">
        <v>224</v>
      </c>
      <c r="T2" s="247" t="s">
        <v>225</v>
      </c>
    </row>
    <row r="3" spans="1:20" ht="27" customHeight="1">
      <c r="A3" s="237"/>
      <c r="B3" s="224" t="s">
        <v>127</v>
      </c>
      <c r="C3" s="228">
        <v>4</v>
      </c>
      <c r="D3" s="224" t="s">
        <v>128</v>
      </c>
      <c r="E3" s="228">
        <v>5</v>
      </c>
      <c r="F3" s="229" t="s">
        <v>445</v>
      </c>
      <c r="G3" s="230">
        <v>0.05</v>
      </c>
      <c r="H3" s="230" t="s">
        <v>462</v>
      </c>
      <c r="I3" s="225">
        <v>0.95</v>
      </c>
      <c r="J3" s="237"/>
      <c r="K3" s="237"/>
      <c r="M3" s="248" t="s">
        <v>404</v>
      </c>
      <c r="N3" s="251">
        <f>C3-1</f>
        <v>3</v>
      </c>
      <c r="P3" s="242">
        <v>1</v>
      </c>
      <c r="Q3" s="243">
        <f>C1</f>
        <v>90</v>
      </c>
      <c r="R3" s="371">
        <f ca="1">C12</f>
        <v>94</v>
      </c>
      <c r="S3" s="150">
        <f ca="1">C25</f>
        <v>4.7803746668892</v>
      </c>
      <c r="T3" s="150">
        <f ca="1">C32</f>
        <v>6.5702683019342105</v>
      </c>
    </row>
    <row r="4" spans="1:20" ht="27" customHeight="1">
      <c r="A4" s="238"/>
      <c r="B4" s="808" t="s">
        <v>452</v>
      </c>
      <c r="C4" s="808"/>
      <c r="D4" s="808"/>
      <c r="E4" s="808"/>
      <c r="F4" s="808"/>
      <c r="G4" s="808"/>
      <c r="H4" s="808"/>
      <c r="I4" s="808"/>
      <c r="J4" s="238"/>
      <c r="K4" s="238"/>
      <c r="M4" s="248" t="s">
        <v>405</v>
      </c>
      <c r="N4" s="250">
        <f ca="1">N2/N3</f>
        <v>178.06333333333291</v>
      </c>
      <c r="P4" s="242">
        <v>15</v>
      </c>
      <c r="Q4" s="243">
        <f>E1</f>
        <v>80</v>
      </c>
      <c r="R4" s="371">
        <f ca="1">E12</f>
        <v>81.400000000000006</v>
      </c>
      <c r="S4" s="150">
        <f ca="1">E25</f>
        <v>4.7803746668892</v>
      </c>
      <c r="T4" s="150">
        <f ca="1">E32</f>
        <v>1.8830766882436982</v>
      </c>
    </row>
    <row r="5" spans="1:20" ht="27" customHeight="1">
      <c r="A5" s="238"/>
      <c r="B5" s="811" t="s">
        <v>189</v>
      </c>
      <c r="C5" s="808"/>
      <c r="D5" s="811" t="s">
        <v>453</v>
      </c>
      <c r="E5" s="808"/>
      <c r="F5" s="811" t="s">
        <v>457</v>
      </c>
      <c r="G5" s="808"/>
      <c r="H5" s="811" t="s">
        <v>484</v>
      </c>
      <c r="I5" s="808"/>
      <c r="J5" s="238"/>
      <c r="K5" s="238"/>
      <c r="M5" s="630" t="s">
        <v>406</v>
      </c>
      <c r="N5" s="383">
        <f ca="1">N4*E3</f>
        <v>890.31666666666456</v>
      </c>
      <c r="P5" s="242">
        <v>30</v>
      </c>
      <c r="Q5" s="243">
        <f>G1</f>
        <v>70</v>
      </c>
      <c r="R5" s="371">
        <f ca="1">G12</f>
        <v>69.8</v>
      </c>
      <c r="S5" s="150">
        <f ca="1">G25</f>
        <v>4.7803746668892</v>
      </c>
      <c r="T5" s="150">
        <f ca="1">G32</f>
        <v>5.2238502918325</v>
      </c>
    </row>
    <row r="6" spans="1:20" ht="27" customHeight="1">
      <c r="A6" s="232"/>
      <c r="B6" s="186" t="s">
        <v>275</v>
      </c>
      <c r="C6" s="213">
        <f ca="1">ROUND(NORMINV(RAND(),C$1,C$2),0)</f>
        <v>99</v>
      </c>
      <c r="D6" s="186" t="s">
        <v>481</v>
      </c>
      <c r="E6" s="213">
        <f ca="1">ROUND(NORMINV(RAND(),E$1,E$2),0)</f>
        <v>81</v>
      </c>
      <c r="F6" s="186" t="s">
        <v>485</v>
      </c>
      <c r="G6" s="213">
        <f ca="1">ROUND(NORMINV(RAND(),G$1,G$2),0)</f>
        <v>65</v>
      </c>
      <c r="H6" s="186" t="s">
        <v>486</v>
      </c>
      <c r="I6" s="213">
        <f ca="1">ROUND(NORMINV(RAND(),I$1,I$2),0)</f>
        <v>71</v>
      </c>
      <c r="J6" s="233"/>
      <c r="K6" s="233"/>
      <c r="M6" s="248" t="s">
        <v>407</v>
      </c>
      <c r="N6" s="249">
        <f ca="1">K17</f>
        <v>25.424999999999727</v>
      </c>
      <c r="P6" s="242">
        <v>45</v>
      </c>
      <c r="Q6" s="243">
        <f>I1</f>
        <v>65</v>
      </c>
      <c r="R6" s="371">
        <f ca="1">I12</f>
        <v>63.8</v>
      </c>
      <c r="S6" s="150">
        <f ca="1">I25</f>
        <v>4.7803746668892</v>
      </c>
      <c r="T6" s="150">
        <f ca="1">I32</f>
        <v>9.0989490220021931</v>
      </c>
    </row>
    <row r="7" spans="1:20" ht="27" customHeight="1">
      <c r="A7" s="232"/>
      <c r="B7" s="186" t="s">
        <v>482</v>
      </c>
      <c r="C7" s="213">
        <f ca="1">ROUND(NORMINV(RAND(),C$1,C$2),0)</f>
        <v>100</v>
      </c>
      <c r="D7" s="186" t="s">
        <v>498</v>
      </c>
      <c r="E7" s="213">
        <f ca="1">ROUND(NORMINV(RAND(),E$1,E$2),0)</f>
        <v>79</v>
      </c>
      <c r="F7" s="186" t="s">
        <v>625</v>
      </c>
      <c r="G7" s="213">
        <f ca="1">ROUND(NORMINV(RAND(),G$1,G$2),0)</f>
        <v>75</v>
      </c>
      <c r="H7" s="186" t="s">
        <v>626</v>
      </c>
      <c r="I7" s="213">
        <f ca="1">ROUND(NORMINV(RAND(),I$1,I$2),0)</f>
        <v>63</v>
      </c>
      <c r="J7" s="233"/>
      <c r="K7" s="233"/>
      <c r="M7" s="248" t="s">
        <v>358</v>
      </c>
      <c r="N7" s="386">
        <f ca="1">N5/K17</f>
        <v>35.017371353654831</v>
      </c>
      <c r="O7" s="2"/>
    </row>
    <row r="8" spans="1:20" ht="27" customHeight="1">
      <c r="A8" s="232"/>
      <c r="B8" s="186" t="s">
        <v>316</v>
      </c>
      <c r="C8" s="213">
        <f ca="1">ROUND(NORMINV(RAND(),C$1,C$2),0)</f>
        <v>93</v>
      </c>
      <c r="D8" s="186" t="s">
        <v>317</v>
      </c>
      <c r="E8" s="213">
        <f ca="1">ROUND(NORMINV(RAND(),E$1,E$2),0)</f>
        <v>82</v>
      </c>
      <c r="F8" s="186" t="s">
        <v>624</v>
      </c>
      <c r="G8" s="213">
        <f ca="1">ROUND(NORMINV(RAND(),G$1,G$2),0)</f>
        <v>71</v>
      </c>
      <c r="H8" s="186" t="s">
        <v>461</v>
      </c>
      <c r="I8" s="213">
        <f ca="1">ROUND(NORMINV(RAND(),I$1,I$2),0)</f>
        <v>60</v>
      </c>
      <c r="J8" s="233"/>
      <c r="K8" s="233"/>
      <c r="M8" s="248" t="s">
        <v>681</v>
      </c>
      <c r="N8" s="386">
        <f ca="1">FINV(G3,N3,K16)</f>
        <v>3.2388715223610909</v>
      </c>
    </row>
    <row r="9" spans="1:20" ht="27" customHeight="1">
      <c r="A9" s="232"/>
      <c r="B9" s="186" t="s">
        <v>690</v>
      </c>
      <c r="C9" s="213">
        <f ca="1">ROUND(NORMINV(RAND(),C$1,C$2),0)</f>
        <v>89</v>
      </c>
      <c r="D9" s="186" t="s">
        <v>642</v>
      </c>
      <c r="E9" s="213">
        <f ca="1">ROUND(NORMINV(RAND(),E$1,E$2),0)</f>
        <v>82</v>
      </c>
      <c r="F9" s="186" t="s">
        <v>11</v>
      </c>
      <c r="G9" s="213">
        <f ca="1">ROUND(NORMINV(RAND(),G$1,G$2),0)</f>
        <v>72</v>
      </c>
      <c r="H9" s="186" t="s">
        <v>12</v>
      </c>
      <c r="I9" s="213">
        <f ca="1">ROUND(NORMINV(RAND(),I$1,I$2),0)</f>
        <v>54</v>
      </c>
      <c r="J9" s="233"/>
      <c r="K9" s="233"/>
    </row>
    <row r="10" spans="1:20" ht="27" customHeight="1">
      <c r="A10" s="252"/>
      <c r="B10" s="253" t="s">
        <v>282</v>
      </c>
      <c r="C10" s="160">
        <f ca="1">ROUND(NORMINV(RAND(),C$1,C$2),0)</f>
        <v>89</v>
      </c>
      <c r="D10" s="253" t="s">
        <v>450</v>
      </c>
      <c r="E10" s="160">
        <f ca="1">ROUND(NORMINV(RAND(),E$1,E$2),0)</f>
        <v>83</v>
      </c>
      <c r="F10" s="253" t="s">
        <v>13</v>
      </c>
      <c r="G10" s="160">
        <f ca="1">ROUND(NORMINV(RAND(),G$1,G$2),0)</f>
        <v>66</v>
      </c>
      <c r="H10" s="253" t="s">
        <v>367</v>
      </c>
      <c r="I10" s="160">
        <f ca="1">ROUND(NORMINV(RAND(),I$1,I$2),0)</f>
        <v>71</v>
      </c>
      <c r="J10" s="254"/>
      <c r="K10" s="254"/>
    </row>
    <row r="11" spans="1:20" ht="27" customHeight="1">
      <c r="A11" s="234" t="s">
        <v>424</v>
      </c>
      <c r="B11" s="186" t="s">
        <v>425</v>
      </c>
      <c r="C11" s="213">
        <f ca="1">SUM(C6:C10)</f>
        <v>470</v>
      </c>
      <c r="D11" s="186" t="s">
        <v>426</v>
      </c>
      <c r="E11" s="213">
        <f ca="1">SUM(E6:E10)</f>
        <v>407</v>
      </c>
      <c r="F11" s="186" t="s">
        <v>427</v>
      </c>
      <c r="G11" s="213">
        <f ca="1">SUM(G6:G10)</f>
        <v>349</v>
      </c>
      <c r="H11" s="186" t="s">
        <v>428</v>
      </c>
      <c r="I11" s="213">
        <f ca="1">SUM(I6:I10)</f>
        <v>319</v>
      </c>
      <c r="J11" s="186" t="s">
        <v>429</v>
      </c>
      <c r="K11" s="191">
        <f ca="1">SUM(C11:I11)</f>
        <v>1545</v>
      </c>
    </row>
    <row r="12" spans="1:20" ht="27" customHeight="1">
      <c r="A12" s="234" t="s">
        <v>430</v>
      </c>
      <c r="B12" s="186" t="s">
        <v>431</v>
      </c>
      <c r="C12" s="231">
        <f ca="1">C11/C14</f>
        <v>94</v>
      </c>
      <c r="D12" s="186" t="s">
        <v>269</v>
      </c>
      <c r="E12" s="231">
        <f ca="1">E11/E14</f>
        <v>81.400000000000006</v>
      </c>
      <c r="F12" s="186" t="s">
        <v>268</v>
      </c>
      <c r="G12" s="231">
        <f ca="1">G11/G14</f>
        <v>69.8</v>
      </c>
      <c r="H12" s="186" t="s">
        <v>216</v>
      </c>
      <c r="I12" s="231">
        <f ca="1">I11/I14</f>
        <v>63.8</v>
      </c>
      <c r="J12" s="186"/>
      <c r="K12" s="189"/>
    </row>
    <row r="13" spans="1:20" ht="27" customHeight="1">
      <c r="A13" s="202"/>
      <c r="B13" s="14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20" ht="27" customHeight="1">
      <c r="A14" s="202"/>
      <c r="B14" s="142" t="s">
        <v>335</v>
      </c>
      <c r="C14" s="195">
        <f ca="1">COUNT(C6:C10)</f>
        <v>5</v>
      </c>
      <c r="D14" s="202"/>
      <c r="E14" s="195">
        <f ca="1">COUNT(E6:E10)</f>
        <v>5</v>
      </c>
      <c r="F14" s="202"/>
      <c r="G14" s="195">
        <f ca="1">COUNT(G6:G10)</f>
        <v>5</v>
      </c>
      <c r="H14" s="202"/>
      <c r="I14" s="195">
        <f ca="1">COUNT(I6:I10)</f>
        <v>5</v>
      </c>
      <c r="J14" s="142" t="s">
        <v>497</v>
      </c>
      <c r="K14" s="235">
        <f ca="1">SUM(C14:I14)</f>
        <v>20</v>
      </c>
    </row>
    <row r="15" spans="1:20" ht="27" customHeight="1">
      <c r="A15" s="202"/>
      <c r="B15" s="236" t="s">
        <v>509</v>
      </c>
      <c r="C15" s="205">
        <f ca="1">SUMSQ(C6:C10)-C11^2/C14</f>
        <v>112</v>
      </c>
      <c r="D15" s="205"/>
      <c r="E15" s="205">
        <f ca="1">SUMSQ(E6:E10)-E11^2/E14</f>
        <v>9.1999999999970896</v>
      </c>
      <c r="F15" s="205"/>
      <c r="G15" s="205">
        <f ca="1">SUMSQ(G6:G10)-G11^2/G14</f>
        <v>70.799999999999272</v>
      </c>
      <c r="H15" s="205"/>
      <c r="I15" s="205">
        <f ca="1">SUMSQ(I6:I10)-I11^2/I14</f>
        <v>214.79999999999927</v>
      </c>
      <c r="J15" s="236" t="s">
        <v>111</v>
      </c>
      <c r="K15" s="203">
        <f ca="1">SUM(C15:I15)</f>
        <v>406.79999999999563</v>
      </c>
    </row>
    <row r="16" spans="1:20" ht="27" customHeight="1">
      <c r="A16" s="202"/>
      <c r="B16" s="142" t="s">
        <v>510</v>
      </c>
      <c r="C16" s="195">
        <f ca="1">C14-1</f>
        <v>4</v>
      </c>
      <c r="D16" s="202"/>
      <c r="E16" s="195">
        <f ca="1">E14-1</f>
        <v>4</v>
      </c>
      <c r="F16" s="202"/>
      <c r="G16" s="195">
        <f ca="1">G14-1</f>
        <v>4</v>
      </c>
      <c r="H16" s="202"/>
      <c r="I16" s="195">
        <f ca="1">I14-1</f>
        <v>4</v>
      </c>
      <c r="J16" s="142" t="s">
        <v>217</v>
      </c>
      <c r="K16" s="235">
        <f ca="1">SUM(C16:I16)</f>
        <v>16</v>
      </c>
    </row>
    <row r="17" spans="1:20" ht="27" customHeight="1">
      <c r="A17" s="202"/>
      <c r="B17" s="142" t="s">
        <v>537</v>
      </c>
      <c r="C17" s="201">
        <f ca="1">C15/C16</f>
        <v>28</v>
      </c>
      <c r="D17" s="201"/>
      <c r="E17" s="201">
        <f ca="1">E15/E16</f>
        <v>2.2999999999992724</v>
      </c>
      <c r="F17" s="201"/>
      <c r="G17" s="201">
        <f ca="1">G15/G16</f>
        <v>17.699999999999818</v>
      </c>
      <c r="H17" s="201"/>
      <c r="I17" s="201">
        <f ca="1">I15/I16</f>
        <v>53.699999999999818</v>
      </c>
      <c r="J17" s="142" t="s">
        <v>372</v>
      </c>
      <c r="K17" s="203">
        <f ca="1">SUMPRODUCT(C17:I17,C18:I18)</f>
        <v>25.424999999999727</v>
      </c>
    </row>
    <row r="18" spans="1:20" ht="27" customHeight="1">
      <c r="A18" s="202"/>
      <c r="B18" s="142" t="s">
        <v>374</v>
      </c>
      <c r="C18" s="201">
        <f ca="1">C16/$K$16</f>
        <v>0.25</v>
      </c>
      <c r="D18" s="201"/>
      <c r="E18" s="201">
        <f ca="1">E16/$K$16</f>
        <v>0.25</v>
      </c>
      <c r="F18" s="201"/>
      <c r="G18" s="201">
        <f ca="1">G16/$K$16</f>
        <v>0.25</v>
      </c>
      <c r="H18" s="201"/>
      <c r="I18" s="201">
        <f ca="1">I16/$K$16</f>
        <v>0.25</v>
      </c>
      <c r="J18" s="202"/>
      <c r="K18" s="202"/>
    </row>
    <row r="19" spans="1:20" ht="27" customHeight="1">
      <c r="A19" s="202"/>
      <c r="B19" s="142" t="s">
        <v>375</v>
      </c>
      <c r="C19" s="201">
        <f ca="1">SQRT(C17)</f>
        <v>5.2915026221291814</v>
      </c>
      <c r="D19" s="201"/>
      <c r="E19" s="201">
        <f ca="1">SQRT(E17)</f>
        <v>1.5165750888100702</v>
      </c>
      <c r="F19" s="201"/>
      <c r="G19" s="201">
        <f ca="1">SQRT(G17)</f>
        <v>4.2071367935925039</v>
      </c>
      <c r="H19" s="201"/>
      <c r="I19" s="201">
        <f ca="1">SQRT(I17)</f>
        <v>7.328028384224492</v>
      </c>
      <c r="J19" s="202"/>
      <c r="K19" s="202"/>
    </row>
    <row r="20" spans="1:20" ht="27" customHeight="1">
      <c r="A20" s="202"/>
      <c r="B20" s="142" t="s">
        <v>376</v>
      </c>
      <c r="C20" s="201">
        <f ca="1">C17/C14</f>
        <v>5.6</v>
      </c>
      <c r="D20" s="201"/>
      <c r="E20" s="201">
        <f ca="1">E17/E14</f>
        <v>0.45999999999985447</v>
      </c>
      <c r="F20" s="201"/>
      <c r="G20" s="201">
        <f ca="1">G17/G14</f>
        <v>3.5399999999999636</v>
      </c>
      <c r="H20" s="201"/>
      <c r="I20" s="201">
        <f ca="1">I17/I14</f>
        <v>10.739999999999963</v>
      </c>
      <c r="J20" s="202"/>
      <c r="K20" s="202"/>
    </row>
    <row r="21" spans="1:20" ht="27" customHeight="1" thickBot="1">
      <c r="A21" s="294"/>
      <c r="B21" s="295" t="s">
        <v>377</v>
      </c>
      <c r="C21" s="296">
        <f ca="1">SQRT(C20)</f>
        <v>2.3664319132398464</v>
      </c>
      <c r="D21" s="296"/>
      <c r="E21" s="296">
        <f ca="1">SQRT(E20)</f>
        <v>0.67823299831241957</v>
      </c>
      <c r="F21" s="296"/>
      <c r="G21" s="296">
        <f ca="1">SQRT(G20)</f>
        <v>1.8814887722226683</v>
      </c>
      <c r="H21" s="296"/>
      <c r="I21" s="296">
        <f ca="1">SQRT(I20)</f>
        <v>3.2771939216347823</v>
      </c>
      <c r="J21" s="294"/>
      <c r="K21" s="294"/>
    </row>
    <row r="22" spans="1:20" ht="27" customHeight="1" thickTop="1">
      <c r="A22" s="193"/>
      <c r="B22" s="448" t="s">
        <v>373</v>
      </c>
      <c r="C22" s="332"/>
      <c r="D22" s="332"/>
      <c r="E22" s="332"/>
      <c r="F22" s="332"/>
      <c r="G22" s="332"/>
      <c r="H22" s="332"/>
      <c r="I22" s="332"/>
      <c r="J22" s="193"/>
      <c r="K22" s="241"/>
    </row>
    <row r="23" spans="1:20" ht="27" customHeight="1">
      <c r="A23" s="193"/>
      <c r="B23" s="142" t="s">
        <v>587</v>
      </c>
      <c r="C23" s="201">
        <f ca="1">SQRT($K$17/C14)</f>
        <v>2.2549944567559241</v>
      </c>
      <c r="D23" s="201"/>
      <c r="E23" s="201">
        <f ca="1">SQRT($K$17/E14)</f>
        <v>2.2549944567559241</v>
      </c>
      <c r="F23" s="201"/>
      <c r="G23" s="201">
        <f ca="1">SQRT($K$17/G14)</f>
        <v>2.2549944567559241</v>
      </c>
      <c r="H23" s="201"/>
      <c r="I23" s="201">
        <f ca="1">SQRT($K$17/I14)</f>
        <v>2.2549944567559241</v>
      </c>
      <c r="J23" s="193"/>
      <c r="K23" s="193"/>
    </row>
    <row r="24" spans="1:20" ht="27" customHeight="1">
      <c r="A24" s="193"/>
      <c r="B24" s="142" t="s">
        <v>634</v>
      </c>
      <c r="C24" s="201">
        <f ca="1">TINV(1-$I$3,$K$16)</f>
        <v>2.1199052851625781</v>
      </c>
      <c r="D24" s="202"/>
      <c r="E24" s="201">
        <f ca="1">TINV(1-$I$3,$K$16)</f>
        <v>2.1199052851625781</v>
      </c>
      <c r="F24" s="202"/>
      <c r="G24" s="201">
        <f ca="1">TINV(1-$I$3,$K$16)</f>
        <v>2.1199052851625781</v>
      </c>
      <c r="H24" s="202"/>
      <c r="I24" s="201">
        <f ca="1">TINV(1-$I$3,$K$16)</f>
        <v>2.1199052851625781</v>
      </c>
      <c r="J24" s="193"/>
      <c r="K24" s="193"/>
    </row>
    <row r="25" spans="1:20" ht="27" customHeight="1">
      <c r="A25" s="193"/>
      <c r="B25" s="145" t="s">
        <v>105</v>
      </c>
      <c r="C25" s="207">
        <f ca="1">C23*C24</f>
        <v>4.7803746668892</v>
      </c>
      <c r="D25" s="207"/>
      <c r="E25" s="207">
        <f ca="1">E23*E24</f>
        <v>4.7803746668892</v>
      </c>
      <c r="F25" s="207"/>
      <c r="G25" s="207">
        <f ca="1">G23*G24</f>
        <v>4.7803746668892</v>
      </c>
      <c r="H25" s="207"/>
      <c r="I25" s="207">
        <f ca="1">I23*I24</f>
        <v>4.7803746668892</v>
      </c>
      <c r="J25" s="193"/>
      <c r="K25" s="193"/>
    </row>
    <row r="26" spans="1:20" ht="27" customHeight="1">
      <c r="A26" s="193"/>
      <c r="B26" s="142" t="s">
        <v>616</v>
      </c>
      <c r="C26" s="201">
        <f ca="1">C12+C25</f>
        <v>98.780374666889202</v>
      </c>
      <c r="D26" s="202"/>
      <c r="E26" s="201">
        <f ca="1">E12+E25</f>
        <v>86.180374666889207</v>
      </c>
      <c r="F26" s="202"/>
      <c r="G26" s="201">
        <f ca="1">G12+G25</f>
        <v>74.580374666889199</v>
      </c>
      <c r="H26" s="202"/>
      <c r="I26" s="201">
        <f ca="1">I12+I25</f>
        <v>68.580374666889199</v>
      </c>
      <c r="J26" s="193"/>
      <c r="K26" s="193"/>
    </row>
    <row r="27" spans="1:20" ht="27" customHeight="1" thickBot="1">
      <c r="A27" s="297"/>
      <c r="B27" s="295" t="s">
        <v>617</v>
      </c>
      <c r="C27" s="296">
        <f ca="1">C12-C25</f>
        <v>89.219625333110798</v>
      </c>
      <c r="D27" s="294"/>
      <c r="E27" s="296">
        <f ca="1">E12-E25</f>
        <v>76.619625333110804</v>
      </c>
      <c r="F27" s="294"/>
      <c r="G27" s="296">
        <f ca="1">G12-G25</f>
        <v>65.019625333110795</v>
      </c>
      <c r="H27" s="294"/>
      <c r="I27" s="296">
        <f ca="1">I12-I25</f>
        <v>59.019625333110795</v>
      </c>
      <c r="J27" s="297"/>
      <c r="K27" s="297"/>
    </row>
    <row r="28" spans="1:20" ht="27" customHeight="1" thickTop="1">
      <c r="A28" s="193"/>
      <c r="B28" s="448" t="s">
        <v>263</v>
      </c>
      <c r="C28" s="332"/>
      <c r="D28" s="332"/>
      <c r="E28" s="332"/>
      <c r="F28" s="332"/>
      <c r="G28" s="332"/>
      <c r="H28" s="332"/>
      <c r="I28" s="332"/>
      <c r="J28" s="193"/>
      <c r="K28" s="193"/>
    </row>
    <row r="29" spans="1:20" ht="27" customHeight="1">
      <c r="A29" s="193"/>
      <c r="B29" s="142" t="s">
        <v>264</v>
      </c>
      <c r="C29" s="201">
        <f ca="1">C19</f>
        <v>5.2915026221291814</v>
      </c>
      <c r="D29" s="201"/>
      <c r="E29" s="201">
        <f ca="1">E19</f>
        <v>1.5165750888100702</v>
      </c>
      <c r="F29" s="201"/>
      <c r="G29" s="201">
        <f ca="1">G19</f>
        <v>4.2071367935925039</v>
      </c>
      <c r="H29" s="201"/>
      <c r="I29" s="201">
        <f ca="1">I19</f>
        <v>7.328028384224492</v>
      </c>
      <c r="J29" s="193"/>
      <c r="K29" s="193"/>
    </row>
    <row r="30" spans="1:20" ht="27" customHeight="1">
      <c r="A30" s="193"/>
      <c r="B30" s="142" t="s">
        <v>265</v>
      </c>
      <c r="C30" s="201">
        <f ca="1">C29/SQRT(C14)</f>
        <v>2.3664319132398464</v>
      </c>
      <c r="D30" s="201"/>
      <c r="E30" s="201">
        <f ca="1">E29/SQRT(E14)</f>
        <v>0.67823299831241946</v>
      </c>
      <c r="F30" s="201"/>
      <c r="G30" s="201">
        <f ca="1">G29/SQRT(G14)</f>
        <v>1.8814887722226681</v>
      </c>
      <c r="H30" s="201"/>
      <c r="I30" s="201">
        <f ca="1">I29/SQRT(I14)</f>
        <v>3.2771939216347823</v>
      </c>
      <c r="J30" s="193"/>
      <c r="K30" s="193"/>
      <c r="M30" s="198" t="s">
        <v>81</v>
      </c>
      <c r="N30" s="126"/>
      <c r="O30" s="126"/>
      <c r="P30" s="126"/>
      <c r="Q30" s="126"/>
      <c r="R30" s="126"/>
      <c r="S30" s="193"/>
      <c r="T30" s="193"/>
    </row>
    <row r="31" spans="1:20" ht="27" customHeight="1">
      <c r="A31" s="193"/>
      <c r="B31" s="142" t="s">
        <v>634</v>
      </c>
      <c r="C31" s="201">
        <f ca="1">TINV(1-$I$3,C16)</f>
        <v>2.7764451050438019</v>
      </c>
      <c r="D31" s="201"/>
      <c r="E31" s="201">
        <f ca="1">TINV(1-$I$3,E16)</f>
        <v>2.7764451050438019</v>
      </c>
      <c r="F31" s="201"/>
      <c r="G31" s="201">
        <f ca="1">TINV(1-$I$3,G16)</f>
        <v>2.7764451050438019</v>
      </c>
      <c r="H31" s="201"/>
      <c r="I31" s="201">
        <f ca="1">TINV(1-$I$3,I16)</f>
        <v>2.7764451050438019</v>
      </c>
      <c r="J31" s="193"/>
      <c r="K31" s="193"/>
      <c r="M31" s="239" t="s">
        <v>310</v>
      </c>
      <c r="N31" s="240" t="s">
        <v>311</v>
      </c>
      <c r="O31" s="240" t="s">
        <v>312</v>
      </c>
      <c r="P31" s="240" t="s">
        <v>533</v>
      </c>
      <c r="Q31" s="246" t="s">
        <v>101</v>
      </c>
      <c r="R31" s="246" t="s">
        <v>458</v>
      </c>
      <c r="S31" s="247" t="s">
        <v>603</v>
      </c>
      <c r="T31" s="193"/>
    </row>
    <row r="32" spans="1:20" ht="27" customHeight="1">
      <c r="A32" s="193"/>
      <c r="B32" s="145" t="s">
        <v>266</v>
      </c>
      <c r="C32" s="207">
        <f ca="1">C30*C31</f>
        <v>6.5702683019342105</v>
      </c>
      <c r="D32" s="207"/>
      <c r="E32" s="207">
        <f ca="1">E30*E31</f>
        <v>1.8830766882436982</v>
      </c>
      <c r="F32" s="207"/>
      <c r="G32" s="207">
        <f ca="1">G30*G31</f>
        <v>5.2238502918325</v>
      </c>
      <c r="H32" s="207"/>
      <c r="I32" s="207">
        <f ca="1">I30*I31</f>
        <v>9.0989490220021931</v>
      </c>
      <c r="J32" s="193"/>
      <c r="K32" s="193"/>
      <c r="M32" s="127" t="s">
        <v>183</v>
      </c>
      <c r="N32" s="132">
        <f>C3-1</f>
        <v>3</v>
      </c>
      <c r="O32" s="127">
        <f ca="1">SUMSQ(C11:I11)/E3-K11^2/K14</f>
        <v>2670.9499999999971</v>
      </c>
      <c r="P32" s="127">
        <f ca="1">O32/N32</f>
        <v>890.3166666666657</v>
      </c>
      <c r="Q32" s="385">
        <f ca="1">P32/P33</f>
        <v>35.017371353654248</v>
      </c>
      <c r="R32" s="385">
        <f>FINV(G3,N32,N33)</f>
        <v>3.2388715223610909</v>
      </c>
      <c r="S32" s="150" t="str">
        <f ca="1">IF(Q32&gt;R32,"Reject", "Don't reject")</f>
        <v>Reject</v>
      </c>
      <c r="T32" s="193"/>
    </row>
    <row r="33" spans="1:20" ht="27" customHeight="1">
      <c r="A33" s="193"/>
      <c r="B33" s="142" t="s">
        <v>616</v>
      </c>
      <c r="C33" s="205">
        <f ca="1">C12+C32</f>
        <v>100.57026830193421</v>
      </c>
      <c r="D33" s="205"/>
      <c r="E33" s="205">
        <f ca="1">E12+E32</f>
        <v>83.28307668824371</v>
      </c>
      <c r="F33" s="205"/>
      <c r="G33" s="205">
        <f ca="1">G12+G32</f>
        <v>75.023850291832503</v>
      </c>
      <c r="H33" s="205"/>
      <c r="I33" s="205">
        <f ca="1">I12+I32</f>
        <v>72.898949022002185</v>
      </c>
      <c r="J33" s="193"/>
      <c r="K33" s="193"/>
      <c r="M33" s="127" t="s">
        <v>184</v>
      </c>
      <c r="N33" s="132">
        <f>C3*(E3-1)</f>
        <v>16</v>
      </c>
      <c r="O33" s="127">
        <f ca="1">SUMSQ(C6:I10)-SUMSQ(C11:I11)/E3</f>
        <v>406.80000000000291</v>
      </c>
      <c r="P33" s="127">
        <f ca="1">O33/N33</f>
        <v>25.425000000000182</v>
      </c>
      <c r="Q33" s="127"/>
      <c r="R33" s="127"/>
      <c r="S33" s="193"/>
      <c r="T33" s="193"/>
    </row>
    <row r="34" spans="1:20" ht="27" customHeight="1">
      <c r="A34" s="193"/>
      <c r="B34" s="142" t="s">
        <v>617</v>
      </c>
      <c r="C34" s="205">
        <f ca="1">C12-C32</f>
        <v>87.429731698065794</v>
      </c>
      <c r="D34" s="205"/>
      <c r="E34" s="205">
        <f ca="1">E12-E32</f>
        <v>79.516923311756301</v>
      </c>
      <c r="F34" s="205"/>
      <c r="G34" s="205">
        <f ca="1">G12-G32</f>
        <v>64.576149708167492</v>
      </c>
      <c r="H34" s="205"/>
      <c r="I34" s="205">
        <f ca="1">I12-I32</f>
        <v>54.701050977997802</v>
      </c>
      <c r="J34" s="193"/>
      <c r="K34" s="193"/>
      <c r="M34" s="198" t="s">
        <v>185</v>
      </c>
      <c r="N34" s="197">
        <f>N32+N33</f>
        <v>19</v>
      </c>
      <c r="O34" s="198">
        <f ca="1">O32+O33</f>
        <v>3077.75</v>
      </c>
      <c r="P34" s="198"/>
      <c r="Q34" s="198"/>
      <c r="R34" s="198"/>
      <c r="S34" s="193"/>
      <c r="T34" s="193"/>
    </row>
    <row r="50" spans="2:11" ht="27" customHeight="1"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</sheetData>
  <sheetCalcPr fullCalcOnLoad="1"/>
  <mergeCells count="5">
    <mergeCell ref="B5:C5"/>
    <mergeCell ref="D5:E5"/>
    <mergeCell ref="F5:G5"/>
    <mergeCell ref="H5:I5"/>
    <mergeCell ref="B4:I4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5"/>
  <sheetViews>
    <sheetView zoomScale="125" zoomScaleNormal="125" zoomScalePageLayoutView="125" workbookViewId="0">
      <selection activeCell="B6" sqref="B6"/>
    </sheetView>
  </sheetViews>
  <sheetFormatPr baseColWidth="10" defaultColWidth="7.09765625" defaultRowHeight="16" customHeight="1"/>
  <cols>
    <col min="1" max="1" width="7.19921875" style="564" customWidth="1"/>
    <col min="2" max="5" width="9.296875" style="564" customWidth="1"/>
    <col min="6" max="6" width="7" style="564" customWidth="1"/>
    <col min="7" max="8" width="7.09765625" style="564"/>
    <col min="9" max="9" width="7.19921875" style="564" customWidth="1"/>
    <col min="10" max="13" width="9.296875" style="564" customWidth="1"/>
    <col min="14" max="14" width="7" style="564" customWidth="1"/>
    <col min="15" max="16384" width="7.09765625" style="564"/>
  </cols>
  <sheetData>
    <row r="1" spans="1:23" s="582" customFormat="1" ht="34" customHeight="1">
      <c r="A1" s="812" t="s">
        <v>36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</row>
    <row r="2" spans="1:23" s="582" customFormat="1" ht="34" customHeight="1">
      <c r="C2" s="814" t="s">
        <v>212</v>
      </c>
      <c r="D2" s="814"/>
      <c r="K2" s="814" t="s">
        <v>213</v>
      </c>
      <c r="L2" s="814"/>
    </row>
    <row r="3" spans="1:23" s="582" customFormat="1" ht="21" customHeight="1">
      <c r="B3" s="633" t="s">
        <v>195</v>
      </c>
      <c r="C3" s="633" t="s">
        <v>197</v>
      </c>
      <c r="D3" s="633" t="s">
        <v>44</v>
      </c>
      <c r="E3" s="633" t="s">
        <v>45</v>
      </c>
      <c r="F3" s="585"/>
      <c r="G3" s="591" t="s">
        <v>338</v>
      </c>
      <c r="H3" s="592">
        <v>5</v>
      </c>
      <c r="I3" s="585"/>
      <c r="J3" s="633" t="s">
        <v>195</v>
      </c>
      <c r="K3" s="633" t="s">
        <v>196</v>
      </c>
      <c r="L3" s="633" t="s">
        <v>44</v>
      </c>
      <c r="M3" s="633" t="s">
        <v>45</v>
      </c>
    </row>
    <row r="4" spans="1:23" ht="19" customHeight="1">
      <c r="B4" s="634" t="s">
        <v>37</v>
      </c>
      <c r="C4" s="634" t="s">
        <v>38</v>
      </c>
      <c r="D4" s="634" t="s">
        <v>8</v>
      </c>
      <c r="E4" s="634" t="s">
        <v>337</v>
      </c>
      <c r="F4" s="583"/>
      <c r="I4" s="584"/>
      <c r="J4" s="638" t="s">
        <v>47</v>
      </c>
      <c r="K4" s="638" t="s">
        <v>48</v>
      </c>
      <c r="L4" s="638" t="s">
        <v>14</v>
      </c>
      <c r="M4" s="638" t="s">
        <v>46</v>
      </c>
      <c r="N4" s="567"/>
      <c r="O4" s="566"/>
      <c r="U4" s="567" t="s">
        <v>686</v>
      </c>
      <c r="V4" s="563">
        <f>(6*H8)/49</f>
        <v>0.21904339371426512</v>
      </c>
    </row>
    <row r="5" spans="1:23" ht="19" customHeight="1">
      <c r="B5" s="635">
        <v>60</v>
      </c>
      <c r="C5" s="635">
        <v>70</v>
      </c>
      <c r="D5" s="635">
        <v>80</v>
      </c>
      <c r="E5" s="635">
        <v>90</v>
      </c>
      <c r="F5" s="581">
        <v>85</v>
      </c>
      <c r="G5" s="585"/>
      <c r="H5" s="585"/>
      <c r="I5" s="586"/>
      <c r="J5" s="635">
        <f>AVERAGE(B5:F5)</f>
        <v>77</v>
      </c>
      <c r="K5" s="635">
        <f>J5</f>
        <v>77</v>
      </c>
      <c r="L5" s="635">
        <f>J5</f>
        <v>77</v>
      </c>
      <c r="M5" s="635">
        <f>J5</f>
        <v>77</v>
      </c>
      <c r="N5" s="567"/>
      <c r="O5" s="563"/>
      <c r="R5" s="568"/>
      <c r="S5" s="813" t="s">
        <v>210</v>
      </c>
      <c r="T5" s="813"/>
      <c r="U5" s="813"/>
      <c r="V5" s="813"/>
      <c r="W5" s="564" t="s">
        <v>211</v>
      </c>
    </row>
    <row r="6" spans="1:23" ht="21" customHeight="1">
      <c r="B6" s="585"/>
      <c r="C6" s="580"/>
      <c r="D6" s="583"/>
      <c r="E6" s="580" t="s">
        <v>408</v>
      </c>
      <c r="F6" s="583"/>
      <c r="G6" s="636" t="s">
        <v>339</v>
      </c>
      <c r="H6" s="637">
        <v>4</v>
      </c>
      <c r="I6" s="581"/>
      <c r="J6" s="587"/>
      <c r="K6" s="585"/>
      <c r="L6" s="585"/>
      <c r="M6" s="585"/>
      <c r="N6" s="567"/>
      <c r="O6" s="565"/>
      <c r="Q6" s="570"/>
      <c r="R6" s="578" t="s">
        <v>246</v>
      </c>
      <c r="S6" s="579" t="s">
        <v>102</v>
      </c>
      <c r="T6" s="579" t="s">
        <v>103</v>
      </c>
      <c r="U6" s="579" t="s">
        <v>104</v>
      </c>
      <c r="V6" s="579" t="s">
        <v>209</v>
      </c>
    </row>
    <row r="7" spans="1:23" ht="20" customHeight="1">
      <c r="B7" s="631" t="s">
        <v>340</v>
      </c>
      <c r="C7" s="631" t="s">
        <v>15</v>
      </c>
      <c r="D7" s="631" t="s">
        <v>513</v>
      </c>
      <c r="E7" s="631" t="s">
        <v>514</v>
      </c>
      <c r="F7" s="585"/>
      <c r="G7" s="636" t="s">
        <v>515</v>
      </c>
      <c r="H7" s="637">
        <f>H6^2</f>
        <v>16</v>
      </c>
      <c r="I7" s="585"/>
      <c r="J7" s="631" t="s">
        <v>350</v>
      </c>
      <c r="K7" s="631" t="s">
        <v>512</v>
      </c>
      <c r="L7" s="631" t="s">
        <v>513</v>
      </c>
      <c r="M7" s="631" t="s">
        <v>514</v>
      </c>
      <c r="N7" s="563"/>
      <c r="O7" s="563"/>
      <c r="Q7" s="570"/>
      <c r="R7" s="575">
        <f t="shared" ref="R7:R38" si="0">NORMDIST(S7,B$5,$H$8,FALSE)</f>
        <v>2.4774785787669775E-3</v>
      </c>
      <c r="S7" s="569">
        <f>B$5-3*$H$8</f>
        <v>54.633436854000507</v>
      </c>
      <c r="T7" s="569">
        <f>C$5-3*$H$8</f>
        <v>64.633436854000507</v>
      </c>
      <c r="U7" s="569">
        <f>D$5-3*$H$8</f>
        <v>74.633436854000507</v>
      </c>
      <c r="V7" s="569">
        <f>E$5-3*$H$8</f>
        <v>84.633436854000507</v>
      </c>
      <c r="W7" s="564">
        <f>AVERAGE(S7:V7)</f>
        <v>69.633436854000507</v>
      </c>
    </row>
    <row r="8" spans="1:23" ht="20" customHeight="1">
      <c r="B8" s="632">
        <f ca="1">NORMINV(RAND(),B$5,$H$8)</f>
        <v>61.097736567114318</v>
      </c>
      <c r="C8" s="632">
        <f ca="1">NORMINV(RAND(),C$5,$H$8)</f>
        <v>69.68125334582561</v>
      </c>
      <c r="D8" s="632">
        <f ca="1">NORMINV(RAND(),D$5,$H$8)</f>
        <v>80.947555127940575</v>
      </c>
      <c r="E8" s="632">
        <f ca="1">NORMINV(RAND(),E$5,$H$8)</f>
        <v>91.694752679554071</v>
      </c>
      <c r="F8" s="585"/>
      <c r="G8" s="636" t="s">
        <v>351</v>
      </c>
      <c r="H8" s="637">
        <f>H6/SQRT(H3)</f>
        <v>1.7888543819998317</v>
      </c>
      <c r="I8" s="588"/>
      <c r="J8" s="632">
        <f ca="1">NORMINV(RAND(),J$5,$H$8)</f>
        <v>75.125912959432441</v>
      </c>
      <c r="K8" s="632">
        <f t="shared" ref="K8:M8" ca="1" si="1">NORMINV(RAND(),K$5,$H$8)</f>
        <v>76.060214235805645</v>
      </c>
      <c r="L8" s="632">
        <f t="shared" ca="1" si="1"/>
        <v>74.869596674186681</v>
      </c>
      <c r="M8" s="632">
        <f t="shared" ca="1" si="1"/>
        <v>77.791025312654099</v>
      </c>
      <c r="N8" s="563"/>
      <c r="O8" s="566"/>
      <c r="Q8" s="570"/>
      <c r="R8" s="575">
        <f t="shared" si="0"/>
        <v>3.5505105262134376E-3</v>
      </c>
      <c r="S8" s="569">
        <f t="shared" ref="S8:S55" si="2">S7+$V$4</f>
        <v>54.852480247714773</v>
      </c>
      <c r="T8" s="569">
        <f t="shared" ref="T8:V23" si="3">T7+$V$4</f>
        <v>64.852480247714766</v>
      </c>
      <c r="U8" s="569">
        <f t="shared" si="3"/>
        <v>74.852480247714766</v>
      </c>
      <c r="V8" s="569">
        <f t="shared" si="3"/>
        <v>84.852480247714766</v>
      </c>
      <c r="W8" s="564">
        <f t="shared" ref="W8:W55" si="4">AVERAGE(S8:V8)</f>
        <v>69.852480247714766</v>
      </c>
    </row>
    <row r="9" spans="1:23" ht="16" customHeight="1">
      <c r="C9" s="567"/>
      <c r="D9" s="571"/>
      <c r="E9" s="567"/>
      <c r="F9" s="571"/>
      <c r="G9" s="567"/>
      <c r="H9" s="571"/>
      <c r="I9" s="567"/>
      <c r="J9" s="571"/>
      <c r="K9" s="565"/>
      <c r="L9" s="565"/>
      <c r="N9" s="563"/>
      <c r="O9" s="573"/>
      <c r="Q9" s="570"/>
      <c r="R9" s="575">
        <f t="shared" si="0"/>
        <v>5.0125647648597248E-3</v>
      </c>
      <c r="S9" s="569">
        <f t="shared" si="2"/>
        <v>55.071523641429039</v>
      </c>
      <c r="T9" s="569">
        <f t="shared" si="3"/>
        <v>65.071523641429025</v>
      </c>
      <c r="U9" s="569">
        <f t="shared" si="3"/>
        <v>75.071523641429025</v>
      </c>
      <c r="V9" s="569">
        <f t="shared" si="3"/>
        <v>85.071523641429025</v>
      </c>
      <c r="W9" s="564">
        <f t="shared" si="4"/>
        <v>70.071523641429025</v>
      </c>
    </row>
    <row r="10" spans="1:23" ht="16" customHeight="1">
      <c r="D10" s="571"/>
      <c r="E10" s="567"/>
      <c r="F10" s="571"/>
      <c r="G10" s="567"/>
      <c r="H10" s="571"/>
      <c r="I10" s="567"/>
      <c r="L10" s="565"/>
      <c r="N10" s="567"/>
      <c r="O10" s="566"/>
      <c r="R10" s="575">
        <f t="shared" si="0"/>
        <v>6.9713596012204535E-3</v>
      </c>
      <c r="S10" s="569">
        <f t="shared" si="2"/>
        <v>55.290567035143305</v>
      </c>
      <c r="T10" s="569">
        <f t="shared" si="3"/>
        <v>65.290567035143283</v>
      </c>
      <c r="U10" s="569">
        <f t="shared" si="3"/>
        <v>75.290567035143283</v>
      </c>
      <c r="V10" s="569">
        <f t="shared" si="3"/>
        <v>85.290567035143283</v>
      </c>
      <c r="W10" s="564">
        <f t="shared" si="4"/>
        <v>70.290567035143283</v>
      </c>
    </row>
    <row r="11" spans="1:23" ht="16" customHeight="1">
      <c r="D11" s="571"/>
      <c r="E11" s="567"/>
      <c r="F11" s="571"/>
      <c r="G11" s="567"/>
      <c r="H11" s="571"/>
      <c r="I11" s="567"/>
      <c r="L11" s="565"/>
      <c r="N11" s="567"/>
      <c r="O11" s="566"/>
      <c r="R11" s="575">
        <f t="shared" si="0"/>
        <v>9.5513172331317866E-3</v>
      </c>
      <c r="S11" s="569">
        <f t="shared" si="2"/>
        <v>55.50961042885757</v>
      </c>
      <c r="T11" s="569">
        <f t="shared" si="3"/>
        <v>65.509610428857542</v>
      </c>
      <c r="U11" s="569">
        <f t="shared" si="3"/>
        <v>75.509610428857542</v>
      </c>
      <c r="V11" s="569">
        <f t="shared" si="3"/>
        <v>85.509610428857542</v>
      </c>
      <c r="W11" s="564">
        <f t="shared" si="4"/>
        <v>70.509610428857542</v>
      </c>
    </row>
    <row r="12" spans="1:23" ht="16" customHeight="1">
      <c r="D12" s="571"/>
      <c r="E12" s="567"/>
      <c r="F12" s="571"/>
      <c r="G12" s="567"/>
      <c r="H12" s="571"/>
      <c r="I12" s="567"/>
      <c r="L12" s="565"/>
      <c r="R12" s="575">
        <f t="shared" si="0"/>
        <v>1.2891318846749038E-2</v>
      </c>
      <c r="S12" s="569">
        <f t="shared" si="2"/>
        <v>55.728653822571836</v>
      </c>
      <c r="T12" s="569">
        <f t="shared" si="3"/>
        <v>65.7286538225718</v>
      </c>
      <c r="U12" s="569">
        <f t="shared" si="3"/>
        <v>75.7286538225718</v>
      </c>
      <c r="V12" s="569">
        <f t="shared" si="3"/>
        <v>85.7286538225718</v>
      </c>
      <c r="W12" s="564">
        <f t="shared" si="4"/>
        <v>70.7286538225718</v>
      </c>
    </row>
    <row r="13" spans="1:23" ht="16" customHeight="1">
      <c r="C13" s="567"/>
      <c r="D13" s="571"/>
      <c r="E13" s="567"/>
      <c r="F13" s="571"/>
      <c r="G13" s="567"/>
      <c r="H13" s="571"/>
      <c r="I13" s="567"/>
      <c r="J13" s="571"/>
      <c r="K13" s="565"/>
      <c r="L13" s="565"/>
      <c r="R13" s="575">
        <f t="shared" si="0"/>
        <v>1.7140351605040575E-2</v>
      </c>
      <c r="S13" s="569">
        <f t="shared" si="2"/>
        <v>55.947697216286102</v>
      </c>
      <c r="T13" s="569">
        <f t="shared" si="3"/>
        <v>65.947697216286059</v>
      </c>
      <c r="U13" s="569">
        <f t="shared" si="3"/>
        <v>75.947697216286059</v>
      </c>
      <c r="V13" s="569">
        <f t="shared" si="3"/>
        <v>85.947697216286059</v>
      </c>
      <c r="W13" s="564">
        <f t="shared" si="4"/>
        <v>70.947697216286059</v>
      </c>
    </row>
    <row r="14" spans="1:23" ht="16" customHeight="1">
      <c r="C14" s="567"/>
      <c r="D14" s="571"/>
      <c r="E14" s="567"/>
      <c r="F14" s="571"/>
      <c r="G14" s="567"/>
      <c r="H14" s="571"/>
      <c r="I14" s="567"/>
      <c r="J14" s="571"/>
      <c r="K14" s="567"/>
      <c r="L14" s="565"/>
      <c r="R14" s="575">
        <f t="shared" si="0"/>
        <v>2.2450726478924328E-2</v>
      </c>
      <c r="S14" s="569">
        <f t="shared" si="2"/>
        <v>56.166740610000367</v>
      </c>
      <c r="T14" s="569">
        <f t="shared" si="3"/>
        <v>66.166740610000318</v>
      </c>
      <c r="U14" s="569">
        <f t="shared" si="3"/>
        <v>76.166740610000318</v>
      </c>
      <c r="V14" s="569">
        <f t="shared" si="3"/>
        <v>86.166740610000318</v>
      </c>
      <c r="W14" s="564">
        <f t="shared" si="4"/>
        <v>71.166740610000332</v>
      </c>
    </row>
    <row r="15" spans="1:23" ht="16" customHeight="1">
      <c r="C15" s="567"/>
      <c r="D15" s="572"/>
      <c r="E15" s="567"/>
      <c r="F15" s="572"/>
      <c r="G15" s="567"/>
      <c r="H15" s="572"/>
      <c r="I15" s="567"/>
      <c r="J15" s="572"/>
      <c r="K15" s="567"/>
      <c r="L15" s="573"/>
      <c r="R15" s="575">
        <f t="shared" si="0"/>
        <v>2.8968724073384744E-2</v>
      </c>
      <c r="S15" s="569">
        <f t="shared" si="2"/>
        <v>56.385784003714633</v>
      </c>
      <c r="T15" s="569">
        <f t="shared" si="3"/>
        <v>66.385784003714576</v>
      </c>
      <c r="U15" s="569">
        <f t="shared" si="3"/>
        <v>76.385784003714576</v>
      </c>
      <c r="V15" s="569">
        <f t="shared" si="3"/>
        <v>86.385784003714576</v>
      </c>
      <c r="W15" s="564">
        <f t="shared" si="4"/>
        <v>71.385784003714591</v>
      </c>
    </row>
    <row r="16" spans="1:23" ht="16" customHeight="1">
      <c r="C16" s="567"/>
      <c r="R16" s="575">
        <f t="shared" si="0"/>
        <v>3.6822784935369009E-2</v>
      </c>
      <c r="S16" s="569">
        <f t="shared" si="2"/>
        <v>56.604827397428899</v>
      </c>
      <c r="T16" s="569">
        <f t="shared" si="3"/>
        <v>66.604827397428835</v>
      </c>
      <c r="U16" s="569">
        <f t="shared" si="3"/>
        <v>76.604827397428835</v>
      </c>
      <c r="V16" s="569">
        <f t="shared" si="3"/>
        <v>86.604827397428835</v>
      </c>
      <c r="W16" s="564">
        <f t="shared" si="4"/>
        <v>71.604827397428849</v>
      </c>
    </row>
    <row r="17" spans="3:23" ht="16" customHeight="1">
      <c r="C17" s="567"/>
      <c r="D17" s="571"/>
      <c r="F17" s="571"/>
      <c r="H17" s="571"/>
      <c r="J17" s="571"/>
      <c r="K17" s="567"/>
      <c r="L17" s="565"/>
      <c r="R17" s="575">
        <f t="shared" si="0"/>
        <v>4.6109688862620825E-2</v>
      </c>
      <c r="S17" s="569">
        <f t="shared" si="2"/>
        <v>56.823870791143165</v>
      </c>
      <c r="T17" s="569">
        <f t="shared" si="3"/>
        <v>66.823870791143094</v>
      </c>
      <c r="U17" s="569">
        <f t="shared" si="3"/>
        <v>76.823870791143094</v>
      </c>
      <c r="V17" s="569">
        <f t="shared" si="3"/>
        <v>86.823870791143094</v>
      </c>
      <c r="W17" s="564">
        <f t="shared" si="4"/>
        <v>71.823870791143122</v>
      </c>
    </row>
    <row r="18" spans="3:23" ht="16" customHeight="1">
      <c r="C18" s="574"/>
      <c r="D18" s="572"/>
      <c r="E18" s="572"/>
      <c r="F18" s="572"/>
      <c r="G18" s="572"/>
      <c r="H18" s="572"/>
      <c r="I18" s="572"/>
      <c r="J18" s="572"/>
      <c r="K18" s="574"/>
      <c r="L18" s="563"/>
      <c r="R18" s="575">
        <f t="shared" si="0"/>
        <v>5.6879536397114787E-2</v>
      </c>
      <c r="S18" s="569">
        <f t="shared" si="2"/>
        <v>57.04291418485743</v>
      </c>
      <c r="T18" s="569">
        <f t="shared" si="3"/>
        <v>67.042914184857352</v>
      </c>
      <c r="U18" s="569">
        <f t="shared" si="3"/>
        <v>77.042914184857352</v>
      </c>
      <c r="V18" s="569">
        <f t="shared" si="3"/>
        <v>87.042914184857352</v>
      </c>
      <c r="W18" s="564">
        <f t="shared" si="4"/>
        <v>72.042914184857381</v>
      </c>
    </row>
    <row r="19" spans="3:23" ht="16" customHeight="1">
      <c r="C19" s="567"/>
      <c r="D19" s="571"/>
      <c r="F19" s="571"/>
      <c r="H19" s="571"/>
      <c r="J19" s="571"/>
      <c r="K19" s="567"/>
      <c r="L19" s="565"/>
      <c r="R19" s="575">
        <f t="shared" si="0"/>
        <v>6.91207115431242E-2</v>
      </c>
      <c r="S19" s="569">
        <f t="shared" si="2"/>
        <v>57.261957578571696</v>
      </c>
      <c r="T19" s="569">
        <f t="shared" si="3"/>
        <v>67.261957578571611</v>
      </c>
      <c r="U19" s="569">
        <f t="shared" si="3"/>
        <v>77.261957578571611</v>
      </c>
      <c r="V19" s="569">
        <f t="shared" si="3"/>
        <v>87.261957578571611</v>
      </c>
      <c r="W19" s="564">
        <f t="shared" si="4"/>
        <v>72.261957578571639</v>
      </c>
    </row>
    <row r="20" spans="3:23" ht="16" customHeight="1">
      <c r="C20" s="567"/>
      <c r="D20" s="575"/>
      <c r="E20" s="575"/>
      <c r="F20" s="575"/>
      <c r="G20" s="575"/>
      <c r="H20" s="575"/>
      <c r="I20" s="575"/>
      <c r="J20" s="575"/>
      <c r="K20" s="567"/>
      <c r="L20" s="563"/>
      <c r="R20" s="575">
        <f t="shared" si="0"/>
        <v>8.2746312389542498E-2</v>
      </c>
      <c r="S20" s="569">
        <f t="shared" si="2"/>
        <v>57.481000972285962</v>
      </c>
      <c r="T20" s="569">
        <f t="shared" si="3"/>
        <v>67.481000972285869</v>
      </c>
      <c r="U20" s="569">
        <f t="shared" si="3"/>
        <v>77.481000972285869</v>
      </c>
      <c r="V20" s="569">
        <f t="shared" si="3"/>
        <v>87.481000972285869</v>
      </c>
      <c r="W20" s="564">
        <f t="shared" si="4"/>
        <v>72.481000972285898</v>
      </c>
    </row>
    <row r="21" spans="3:23" ht="16" customHeight="1">
      <c r="C21" s="567"/>
      <c r="D21" s="575"/>
      <c r="E21" s="575"/>
      <c r="F21" s="575"/>
      <c r="G21" s="575"/>
      <c r="H21" s="575"/>
      <c r="I21" s="575"/>
      <c r="J21" s="575"/>
      <c r="R21" s="575">
        <f t="shared" si="0"/>
        <v>9.7583725113639774E-2</v>
      </c>
      <c r="S21" s="569">
        <f t="shared" si="2"/>
        <v>57.700044366000228</v>
      </c>
      <c r="T21" s="569">
        <f t="shared" si="3"/>
        <v>67.700044366000128</v>
      </c>
      <c r="U21" s="569">
        <f t="shared" si="3"/>
        <v>77.700044366000128</v>
      </c>
      <c r="V21" s="569">
        <f t="shared" si="3"/>
        <v>87.700044366000128</v>
      </c>
      <c r="W21" s="564">
        <f t="shared" si="4"/>
        <v>72.700044366000157</v>
      </c>
    </row>
    <row r="22" spans="3:23" ht="16" customHeight="1">
      <c r="C22" s="567"/>
      <c r="D22" s="575"/>
      <c r="E22" s="575"/>
      <c r="F22" s="575"/>
      <c r="G22" s="575"/>
      <c r="H22" s="575"/>
      <c r="I22" s="575"/>
      <c r="J22" s="575"/>
      <c r="R22" s="575">
        <f t="shared" si="0"/>
        <v>0.11336903053544689</v>
      </c>
      <c r="S22" s="569">
        <f t="shared" si="2"/>
        <v>57.919087759714493</v>
      </c>
      <c r="T22" s="569">
        <f t="shared" si="3"/>
        <v>67.919087759714387</v>
      </c>
      <c r="U22" s="569">
        <f t="shared" si="3"/>
        <v>77.919087759714387</v>
      </c>
      <c r="V22" s="569">
        <f t="shared" si="3"/>
        <v>87.919087759714387</v>
      </c>
      <c r="W22" s="564">
        <f t="shared" si="4"/>
        <v>72.919087759714415</v>
      </c>
    </row>
    <row r="23" spans="3:23" ht="16" customHeight="1">
      <c r="C23" s="567"/>
      <c r="D23" s="575"/>
      <c r="E23" s="575"/>
      <c r="F23" s="575"/>
      <c r="G23" s="575"/>
      <c r="H23" s="575"/>
      <c r="I23" s="575"/>
      <c r="J23" s="575"/>
      <c r="R23" s="575">
        <f t="shared" si="0"/>
        <v>0.12974773017884178</v>
      </c>
      <c r="S23" s="569">
        <f t="shared" si="2"/>
        <v>58.138131153428759</v>
      </c>
      <c r="T23" s="569">
        <f t="shared" si="3"/>
        <v>68.138131153428645</v>
      </c>
      <c r="U23" s="569">
        <f t="shared" si="3"/>
        <v>78.138131153428645</v>
      </c>
      <c r="V23" s="569">
        <f t="shared" si="3"/>
        <v>88.138131153428645</v>
      </c>
      <c r="W23" s="564">
        <f t="shared" si="4"/>
        <v>73.138131153428674</v>
      </c>
    </row>
    <row r="24" spans="3:23" ht="16" customHeight="1">
      <c r="C24" s="567"/>
      <c r="D24" s="575"/>
      <c r="E24" s="575"/>
      <c r="F24" s="575"/>
      <c r="G24" s="575"/>
      <c r="H24" s="575"/>
      <c r="I24" s="575"/>
      <c r="J24" s="575"/>
      <c r="R24" s="575">
        <f t="shared" si="0"/>
        <v>0.14628284599750019</v>
      </c>
      <c r="S24" s="569">
        <f t="shared" si="2"/>
        <v>58.357174547143025</v>
      </c>
      <c r="T24" s="569">
        <f t="shared" ref="T24:V39" si="5">T23+$V$4</f>
        <v>68.357174547142904</v>
      </c>
      <c r="U24" s="569">
        <f t="shared" si="5"/>
        <v>78.357174547142904</v>
      </c>
      <c r="V24" s="569">
        <f t="shared" si="5"/>
        <v>88.357174547142904</v>
      </c>
      <c r="W24" s="564">
        <f t="shared" si="4"/>
        <v>73.357174547142932</v>
      </c>
    </row>
    <row r="25" spans="3:23" ht="16" customHeight="1">
      <c r="C25" s="563"/>
      <c r="L25" s="576"/>
      <c r="R25" s="575">
        <f t="shared" si="0"/>
        <v>0.1624708038698951</v>
      </c>
      <c r="S25" s="569">
        <f t="shared" si="2"/>
        <v>58.576217940857291</v>
      </c>
      <c r="T25" s="569">
        <f t="shared" si="5"/>
        <v>68.576217940857163</v>
      </c>
      <c r="U25" s="569">
        <f t="shared" si="5"/>
        <v>78.576217940857163</v>
      </c>
      <c r="V25" s="569">
        <f t="shared" si="5"/>
        <v>88.576217940857163</v>
      </c>
      <c r="W25" s="564">
        <f t="shared" si="4"/>
        <v>73.576217940857191</v>
      </c>
    </row>
    <row r="26" spans="3:23" ht="16" customHeight="1">
      <c r="C26" s="567"/>
      <c r="D26" s="575"/>
      <c r="E26" s="575"/>
      <c r="F26" s="575"/>
      <c r="G26" s="575"/>
      <c r="H26" s="575"/>
      <c r="I26" s="575"/>
      <c r="J26" s="575"/>
      <c r="R26" s="575">
        <f t="shared" si="0"/>
        <v>0.17776471192218346</v>
      </c>
      <c r="S26" s="569">
        <f t="shared" si="2"/>
        <v>58.795261334571556</v>
      </c>
      <c r="T26" s="569">
        <f t="shared" si="5"/>
        <v>68.795261334571421</v>
      </c>
      <c r="U26" s="569">
        <f t="shared" si="5"/>
        <v>78.795261334571421</v>
      </c>
      <c r="V26" s="569">
        <f t="shared" si="5"/>
        <v>88.795261334571421</v>
      </c>
      <c r="W26" s="564">
        <f t="shared" si="4"/>
        <v>73.79526133457145</v>
      </c>
    </row>
    <row r="27" spans="3:23" ht="16" customHeight="1">
      <c r="C27" s="567"/>
      <c r="D27" s="575"/>
      <c r="F27" s="575"/>
      <c r="H27" s="575"/>
      <c r="J27" s="575"/>
      <c r="R27" s="575">
        <f t="shared" si="0"/>
        <v>0.19160378034968001</v>
      </c>
      <c r="S27" s="569">
        <f t="shared" si="2"/>
        <v>59.014304728285822</v>
      </c>
      <c r="T27" s="569">
        <f t="shared" si="5"/>
        <v>69.01430472828568</v>
      </c>
      <c r="U27" s="569">
        <f t="shared" si="5"/>
        <v>79.01430472828568</v>
      </c>
      <c r="V27" s="569">
        <f t="shared" si="5"/>
        <v>89.01430472828568</v>
      </c>
      <c r="W27" s="564">
        <f t="shared" si="4"/>
        <v>74.014304728285708</v>
      </c>
    </row>
    <row r="28" spans="3:23" ht="16" customHeight="1">
      <c r="C28" s="567"/>
      <c r="D28" s="569"/>
      <c r="E28" s="569"/>
      <c r="F28" s="569"/>
      <c r="G28" s="569"/>
      <c r="H28" s="569"/>
      <c r="I28" s="569"/>
      <c r="J28" s="569"/>
      <c r="R28" s="575">
        <f t="shared" si="0"/>
        <v>0.20344681231606204</v>
      </c>
      <c r="S28" s="569">
        <f t="shared" si="2"/>
        <v>59.233348122000088</v>
      </c>
      <c r="T28" s="569">
        <f t="shared" si="5"/>
        <v>69.233348121999938</v>
      </c>
      <c r="U28" s="569">
        <f t="shared" si="5"/>
        <v>79.233348121999938</v>
      </c>
      <c r="V28" s="569">
        <f t="shared" si="5"/>
        <v>89.233348121999938</v>
      </c>
      <c r="W28" s="564">
        <f t="shared" si="4"/>
        <v>74.233348121999967</v>
      </c>
    </row>
    <row r="29" spans="3:23" ht="16" customHeight="1">
      <c r="C29" s="567"/>
      <c r="D29" s="575"/>
      <c r="F29" s="575"/>
      <c r="H29" s="575"/>
      <c r="J29" s="575"/>
      <c r="R29" s="575">
        <f t="shared" si="0"/>
        <v>0.21280704518460941</v>
      </c>
      <c r="S29" s="569">
        <f t="shared" si="2"/>
        <v>59.452391515714353</v>
      </c>
      <c r="T29" s="569">
        <f t="shared" si="5"/>
        <v>69.452391515714197</v>
      </c>
      <c r="U29" s="569">
        <f t="shared" si="5"/>
        <v>79.452391515714197</v>
      </c>
      <c r="V29" s="569">
        <f t="shared" si="5"/>
        <v>89.452391515714197</v>
      </c>
      <c r="W29" s="564">
        <f t="shared" si="4"/>
        <v>74.45239151571424</v>
      </c>
    </row>
    <row r="30" spans="3:23" ht="16" customHeight="1">
      <c r="C30" s="567"/>
      <c r="D30" s="575"/>
      <c r="F30" s="575"/>
      <c r="H30" s="575"/>
      <c r="J30" s="575"/>
      <c r="R30" s="575">
        <f t="shared" si="0"/>
        <v>0.21928524462669113</v>
      </c>
      <c r="S30" s="569">
        <f t="shared" si="2"/>
        <v>59.671434909428619</v>
      </c>
      <c r="T30" s="569">
        <f t="shared" si="5"/>
        <v>69.671434909428456</v>
      </c>
      <c r="U30" s="569">
        <f t="shared" si="5"/>
        <v>79.671434909428456</v>
      </c>
      <c r="V30" s="569">
        <f t="shared" si="5"/>
        <v>89.671434909428456</v>
      </c>
      <c r="W30" s="564">
        <f t="shared" si="4"/>
        <v>74.671434909428498</v>
      </c>
    </row>
    <row r="31" spans="3:23" ht="21" customHeight="1">
      <c r="C31" s="580" t="s">
        <v>35</v>
      </c>
      <c r="D31" s="581">
        <f ca="1">VAR(B8:E8)*$H$3</f>
        <v>887.87309006174837</v>
      </c>
      <c r="I31" s="575"/>
      <c r="K31" s="580" t="s">
        <v>35</v>
      </c>
      <c r="L31" s="581">
        <f ca="1">VAR(J8:M8)*$H$3</f>
        <v>8.7456096749216758</v>
      </c>
      <c r="R31" s="575">
        <f t="shared" si="0"/>
        <v>0.22259792603606671</v>
      </c>
      <c r="S31" s="569">
        <f t="shared" si="2"/>
        <v>59.890478303142885</v>
      </c>
      <c r="T31" s="569">
        <f t="shared" si="5"/>
        <v>69.890478303142714</v>
      </c>
      <c r="U31" s="569">
        <f t="shared" si="5"/>
        <v>79.890478303142714</v>
      </c>
      <c r="V31" s="569">
        <f t="shared" si="5"/>
        <v>89.890478303142714</v>
      </c>
      <c r="W31" s="564">
        <f t="shared" si="4"/>
        <v>74.890478303142757</v>
      </c>
    </row>
    <row r="32" spans="3:23" ht="25" customHeight="1" thickBot="1">
      <c r="C32" s="580" t="s">
        <v>236</v>
      </c>
      <c r="D32" s="581">
        <f>$H$6^2</f>
        <v>16</v>
      </c>
      <c r="E32" s="575"/>
      <c r="F32" s="575"/>
      <c r="G32" s="575"/>
      <c r="H32" s="575"/>
      <c r="I32" s="575"/>
      <c r="K32" s="580" t="s">
        <v>236</v>
      </c>
      <c r="L32" s="581">
        <f>$H$6^2</f>
        <v>16</v>
      </c>
      <c r="R32" s="575">
        <f t="shared" si="0"/>
        <v>0.22259792603606646</v>
      </c>
      <c r="S32" s="569">
        <f t="shared" si="2"/>
        <v>60.109521696857151</v>
      </c>
      <c r="T32" s="569">
        <f t="shared" si="5"/>
        <v>70.109521696856973</v>
      </c>
      <c r="U32" s="569">
        <f t="shared" si="5"/>
        <v>80.109521696856973</v>
      </c>
      <c r="V32" s="569">
        <f t="shared" si="5"/>
        <v>90.109521696856973</v>
      </c>
      <c r="W32" s="564">
        <f t="shared" si="4"/>
        <v>75.109521696857016</v>
      </c>
    </row>
    <row r="33" spans="3:23" ht="22" customHeight="1" thickBot="1">
      <c r="C33" s="589" t="s">
        <v>349</v>
      </c>
      <c r="D33" s="590">
        <f ca="1">D31/D32</f>
        <v>55.492068128859273</v>
      </c>
      <c r="E33" s="575"/>
      <c r="F33" s="575"/>
      <c r="G33" s="575"/>
      <c r="H33" s="575"/>
      <c r="I33" s="575"/>
      <c r="K33" s="589" t="s">
        <v>349</v>
      </c>
      <c r="L33" s="590">
        <f ca="1">L31/L32</f>
        <v>0.54660060468260474</v>
      </c>
      <c r="N33" s="563"/>
      <c r="R33" s="575">
        <f t="shared" si="0"/>
        <v>0.21928524462669033</v>
      </c>
      <c r="S33" s="569">
        <f>S32+$V$4</f>
        <v>60.328565090571416</v>
      </c>
      <c r="T33" s="569">
        <f>T32+$V$4</f>
        <v>70.328565090571232</v>
      </c>
      <c r="U33" s="569">
        <f>U32+$V$4</f>
        <v>80.328565090571232</v>
      </c>
      <c r="V33" s="569">
        <f>V32+$V$4</f>
        <v>90.328565090571232</v>
      </c>
      <c r="W33" s="564">
        <f t="shared" si="4"/>
        <v>75.328565090571274</v>
      </c>
    </row>
    <row r="34" spans="3:23" ht="26" customHeight="1">
      <c r="E34" s="575"/>
      <c r="F34" s="575"/>
      <c r="G34" s="575"/>
      <c r="H34" s="575"/>
      <c r="N34" s="563"/>
      <c r="R34" s="575">
        <f t="shared" si="0"/>
        <v>0.21280704518460811</v>
      </c>
      <c r="S34" s="569">
        <f t="shared" si="2"/>
        <v>60.547608484285682</v>
      </c>
      <c r="T34" s="569">
        <f t="shared" si="5"/>
        <v>70.54760848428549</v>
      </c>
      <c r="U34" s="569">
        <f t="shared" si="5"/>
        <v>80.54760848428549</v>
      </c>
      <c r="V34" s="569">
        <f t="shared" si="5"/>
        <v>90.54760848428549</v>
      </c>
      <c r="W34" s="564">
        <f t="shared" si="4"/>
        <v>75.547608484285547</v>
      </c>
    </row>
    <row r="35" spans="3:23" ht="30" customHeight="1">
      <c r="E35" s="569"/>
      <c r="F35" s="569"/>
      <c r="G35" s="569"/>
      <c r="H35" s="569"/>
      <c r="I35" s="569"/>
      <c r="N35" s="567"/>
      <c r="O35" s="577"/>
      <c r="P35" s="567"/>
      <c r="Q35" s="567"/>
      <c r="R35" s="575">
        <f t="shared" si="0"/>
        <v>0.20344681231606032</v>
      </c>
      <c r="S35" s="569">
        <f t="shared" si="2"/>
        <v>60.766651877999948</v>
      </c>
      <c r="T35" s="569">
        <f t="shared" si="5"/>
        <v>70.766651877999749</v>
      </c>
      <c r="U35" s="569">
        <f t="shared" si="5"/>
        <v>80.766651877999749</v>
      </c>
      <c r="V35" s="569">
        <f t="shared" si="5"/>
        <v>90.766651877999749</v>
      </c>
      <c r="W35" s="564">
        <f t="shared" si="4"/>
        <v>75.766651877999806</v>
      </c>
    </row>
    <row r="36" spans="3:23" ht="17" customHeight="1">
      <c r="C36" s="567"/>
      <c r="D36" s="572"/>
      <c r="E36" s="572"/>
      <c r="F36" s="572"/>
      <c r="G36" s="572"/>
      <c r="H36" s="572"/>
      <c r="I36" s="572"/>
      <c r="J36" s="572"/>
      <c r="N36" s="567"/>
      <c r="O36" s="577"/>
      <c r="P36" s="567"/>
      <c r="Q36" s="567"/>
      <c r="R36" s="575">
        <f t="shared" si="0"/>
        <v>0.19160378034967793</v>
      </c>
      <c r="S36" s="569">
        <f>S35+$V$4</f>
        <v>60.985695271714214</v>
      </c>
      <c r="T36" s="569">
        <f>T35+$V$4</f>
        <v>70.985695271714008</v>
      </c>
      <c r="U36" s="569">
        <f>U35+$V$4</f>
        <v>80.985695271714008</v>
      </c>
      <c r="V36" s="569">
        <f>V35+$V$4</f>
        <v>90.985695271714008</v>
      </c>
      <c r="W36" s="564">
        <f t="shared" si="4"/>
        <v>75.985695271714064</v>
      </c>
    </row>
    <row r="37" spans="3:23" ht="17" customHeight="1">
      <c r="C37" s="567"/>
      <c r="D37" s="572"/>
      <c r="E37" s="572"/>
      <c r="F37" s="572"/>
      <c r="G37" s="572"/>
      <c r="H37" s="572"/>
      <c r="I37" s="572"/>
      <c r="J37" s="572"/>
      <c r="N37" s="563"/>
      <c r="O37" s="565"/>
      <c r="P37" s="563"/>
      <c r="Q37" s="563"/>
      <c r="R37" s="575">
        <f t="shared" si="0"/>
        <v>0.17776471192218107</v>
      </c>
      <c r="S37" s="569">
        <f t="shared" si="2"/>
        <v>61.204738665428479</v>
      </c>
      <c r="T37" s="569">
        <f t="shared" si="5"/>
        <v>71.204738665428266</v>
      </c>
      <c r="U37" s="569">
        <f t="shared" si="5"/>
        <v>81.204738665428266</v>
      </c>
      <c r="V37" s="569">
        <f t="shared" si="5"/>
        <v>91.204738665428266</v>
      </c>
      <c r="W37" s="564">
        <f t="shared" si="4"/>
        <v>76.204738665428323</v>
      </c>
    </row>
    <row r="38" spans="3:23" ht="16" customHeight="1">
      <c r="R38" s="575">
        <f t="shared" si="0"/>
        <v>0.16247080386989252</v>
      </c>
      <c r="S38" s="569">
        <f t="shared" si="2"/>
        <v>61.423782059142745</v>
      </c>
      <c r="T38" s="569">
        <f t="shared" si="5"/>
        <v>71.423782059142525</v>
      </c>
      <c r="U38" s="569">
        <f t="shared" si="5"/>
        <v>81.423782059142525</v>
      </c>
      <c r="V38" s="569">
        <f t="shared" si="5"/>
        <v>91.423782059142525</v>
      </c>
      <c r="W38" s="564">
        <f t="shared" si="4"/>
        <v>76.423782059142582</v>
      </c>
    </row>
    <row r="39" spans="3:23" ht="16" customHeight="1">
      <c r="R39" s="575">
        <f t="shared" ref="R39:R55" si="6">NORMDIST(S39,B$5,$H$8,FALSE)</f>
        <v>0.14628284599749752</v>
      </c>
      <c r="S39" s="569">
        <f t="shared" si="2"/>
        <v>61.642825452857011</v>
      </c>
      <c r="T39" s="569">
        <f t="shared" si="5"/>
        <v>71.642825452856783</v>
      </c>
      <c r="U39" s="569">
        <f t="shared" si="5"/>
        <v>81.642825452856783</v>
      </c>
      <c r="V39" s="569">
        <f t="shared" si="5"/>
        <v>91.642825452856783</v>
      </c>
      <c r="W39" s="564">
        <f t="shared" si="4"/>
        <v>76.64282545285684</v>
      </c>
    </row>
    <row r="40" spans="3:23" ht="16" customHeight="1">
      <c r="R40" s="575">
        <f t="shared" si="6"/>
        <v>0.12974773017883912</v>
      </c>
      <c r="S40" s="569">
        <f t="shared" si="2"/>
        <v>61.861868846571276</v>
      </c>
      <c r="T40" s="569">
        <f t="shared" ref="T40:V55" si="7">T39+$V$4</f>
        <v>71.861868846571042</v>
      </c>
      <c r="U40" s="569">
        <f t="shared" si="7"/>
        <v>81.861868846571042</v>
      </c>
      <c r="V40" s="569">
        <f t="shared" si="7"/>
        <v>91.861868846571042</v>
      </c>
      <c r="W40" s="564">
        <f t="shared" si="4"/>
        <v>76.861868846571099</v>
      </c>
    </row>
    <row r="41" spans="3:23" ht="16" customHeight="1">
      <c r="R41" s="575">
        <f t="shared" si="6"/>
        <v>0.11336903053544428</v>
      </c>
      <c r="S41" s="569">
        <f t="shared" si="2"/>
        <v>62.080912240285542</v>
      </c>
      <c r="T41" s="569">
        <f t="shared" si="7"/>
        <v>72.080912240285301</v>
      </c>
      <c r="U41" s="569">
        <f t="shared" si="7"/>
        <v>82.080912240285301</v>
      </c>
      <c r="V41" s="569">
        <f t="shared" si="7"/>
        <v>92.080912240285301</v>
      </c>
      <c r="W41" s="564">
        <f t="shared" si="4"/>
        <v>77.080912240285357</v>
      </c>
    </row>
    <row r="42" spans="3:23" ht="16" customHeight="1">
      <c r="R42" s="575">
        <f t="shared" si="6"/>
        <v>9.758372511363729E-2</v>
      </c>
      <c r="S42" s="569">
        <f t="shared" si="2"/>
        <v>62.299955633999808</v>
      </c>
      <c r="T42" s="569">
        <f t="shared" si="7"/>
        <v>72.299955633999559</v>
      </c>
      <c r="U42" s="569">
        <f t="shared" si="7"/>
        <v>82.299955633999559</v>
      </c>
      <c r="V42" s="569">
        <f t="shared" si="7"/>
        <v>92.299955633999559</v>
      </c>
      <c r="W42" s="564">
        <f t="shared" si="4"/>
        <v>77.299955633999616</v>
      </c>
    </row>
    <row r="43" spans="3:23" ht="16" customHeight="1">
      <c r="R43" s="575">
        <f t="shared" si="6"/>
        <v>8.2746312389540194E-2</v>
      </c>
      <c r="S43" s="569">
        <f t="shared" si="2"/>
        <v>62.518999027714074</v>
      </c>
      <c r="T43" s="569">
        <f t="shared" si="7"/>
        <v>72.518999027713818</v>
      </c>
      <c r="U43" s="569">
        <f t="shared" si="7"/>
        <v>82.518999027713818</v>
      </c>
      <c r="V43" s="569">
        <f t="shared" si="7"/>
        <v>92.518999027713818</v>
      </c>
      <c r="W43" s="564">
        <f t="shared" si="4"/>
        <v>77.518999027713875</v>
      </c>
    </row>
    <row r="44" spans="3:23" ht="16" customHeight="1">
      <c r="R44" s="575">
        <f t="shared" si="6"/>
        <v>6.9120711543122118E-2</v>
      </c>
      <c r="S44" s="569">
        <f t="shared" si="2"/>
        <v>62.738042421428339</v>
      </c>
      <c r="T44" s="569">
        <f t="shared" si="7"/>
        <v>72.738042421428077</v>
      </c>
      <c r="U44" s="569">
        <f t="shared" si="7"/>
        <v>82.738042421428077</v>
      </c>
      <c r="V44" s="569">
        <f t="shared" si="7"/>
        <v>92.738042421428077</v>
      </c>
      <c r="W44" s="564">
        <f t="shared" si="4"/>
        <v>77.738042421428133</v>
      </c>
    </row>
    <row r="45" spans="3:23" ht="16" customHeight="1">
      <c r="R45" s="575">
        <f t="shared" si="6"/>
        <v>5.6879536397112913E-2</v>
      </c>
      <c r="S45" s="569">
        <f t="shared" si="2"/>
        <v>62.957085815142605</v>
      </c>
      <c r="T45" s="569">
        <f t="shared" si="7"/>
        <v>72.957085815142335</v>
      </c>
      <c r="U45" s="569">
        <f t="shared" si="7"/>
        <v>82.957085815142335</v>
      </c>
      <c r="V45" s="569">
        <f t="shared" si="7"/>
        <v>92.957085815142335</v>
      </c>
      <c r="W45" s="564">
        <f t="shared" si="4"/>
        <v>77.957085815142406</v>
      </c>
    </row>
    <row r="46" spans="3:23" ht="16" customHeight="1">
      <c r="R46" s="575">
        <f t="shared" si="6"/>
        <v>4.6109688862619201E-2</v>
      </c>
      <c r="S46" s="569">
        <f t="shared" si="2"/>
        <v>63.176129208856871</v>
      </c>
      <c r="T46" s="569">
        <f t="shared" si="7"/>
        <v>73.176129208856594</v>
      </c>
      <c r="U46" s="569">
        <f t="shared" si="7"/>
        <v>83.176129208856594</v>
      </c>
      <c r="V46" s="569">
        <f t="shared" si="7"/>
        <v>93.176129208856594</v>
      </c>
      <c r="W46" s="564">
        <f t="shared" si="4"/>
        <v>78.176129208856665</v>
      </c>
    </row>
    <row r="47" spans="3:23" ht="16" customHeight="1">
      <c r="R47" s="575">
        <f t="shared" si="6"/>
        <v>3.6822784935367628E-2</v>
      </c>
      <c r="S47" s="569">
        <f t="shared" si="2"/>
        <v>63.395172602571137</v>
      </c>
      <c r="T47" s="569">
        <f t="shared" si="7"/>
        <v>73.395172602570852</v>
      </c>
      <c r="U47" s="569">
        <f t="shared" si="7"/>
        <v>83.395172602570852</v>
      </c>
      <c r="V47" s="569">
        <f t="shared" si="7"/>
        <v>93.395172602570852</v>
      </c>
      <c r="W47" s="564">
        <f t="shared" si="4"/>
        <v>78.395172602570923</v>
      </c>
    </row>
    <row r="48" spans="3:23" ht="16" customHeight="1">
      <c r="R48" s="575">
        <f t="shared" si="6"/>
        <v>2.8968724073383575E-2</v>
      </c>
      <c r="S48" s="569">
        <f t="shared" si="2"/>
        <v>63.614215996285402</v>
      </c>
      <c r="T48" s="569">
        <f t="shared" si="7"/>
        <v>73.614215996285111</v>
      </c>
      <c r="U48" s="569">
        <f t="shared" si="7"/>
        <v>83.614215996285111</v>
      </c>
      <c r="V48" s="569">
        <f t="shared" si="7"/>
        <v>93.614215996285111</v>
      </c>
      <c r="W48" s="564">
        <f t="shared" si="4"/>
        <v>78.614215996285182</v>
      </c>
    </row>
    <row r="49" spans="18:23" ht="16" customHeight="1">
      <c r="R49" s="575">
        <f t="shared" si="6"/>
        <v>2.2450726478923374E-2</v>
      </c>
      <c r="S49" s="569">
        <f t="shared" si="2"/>
        <v>63.833259389999668</v>
      </c>
      <c r="T49" s="569">
        <f t="shared" si="7"/>
        <v>73.83325938999937</v>
      </c>
      <c r="U49" s="569">
        <f t="shared" si="7"/>
        <v>83.83325938999937</v>
      </c>
      <c r="V49" s="569">
        <f t="shared" si="7"/>
        <v>93.83325938999937</v>
      </c>
      <c r="W49" s="564">
        <f t="shared" si="4"/>
        <v>78.833259389999441</v>
      </c>
    </row>
    <row r="50" spans="18:23" ht="16" customHeight="1">
      <c r="R50" s="575">
        <f t="shared" si="6"/>
        <v>1.7140351605039961E-2</v>
      </c>
      <c r="S50" s="569">
        <f t="shared" si="2"/>
        <v>64.052302783713927</v>
      </c>
      <c r="T50" s="569">
        <f t="shared" si="7"/>
        <v>74.052302783713628</v>
      </c>
      <c r="U50" s="569">
        <f t="shared" si="7"/>
        <v>84.052302783713628</v>
      </c>
      <c r="V50" s="569">
        <f t="shared" si="7"/>
        <v>94.052302783713628</v>
      </c>
      <c r="W50" s="564">
        <f t="shared" si="4"/>
        <v>79.052302783713699</v>
      </c>
    </row>
    <row r="51" spans="18:23" ht="16" customHeight="1">
      <c r="R51" s="575">
        <f t="shared" si="6"/>
        <v>1.2891318846748667E-2</v>
      </c>
      <c r="S51" s="569">
        <f t="shared" si="2"/>
        <v>64.271346177428185</v>
      </c>
      <c r="T51" s="569">
        <f t="shared" si="7"/>
        <v>74.271346177427887</v>
      </c>
      <c r="U51" s="569">
        <f t="shared" si="7"/>
        <v>84.271346177427887</v>
      </c>
      <c r="V51" s="569">
        <f t="shared" si="7"/>
        <v>94.271346177427887</v>
      </c>
      <c r="W51" s="564">
        <f t="shared" si="4"/>
        <v>79.271346177427958</v>
      </c>
    </row>
    <row r="52" spans="18:23" ht="16" customHeight="1">
      <c r="R52" s="575">
        <f t="shared" si="6"/>
        <v>9.5513172331315958E-3</v>
      </c>
      <c r="S52" s="569">
        <f t="shared" si="2"/>
        <v>64.490389571142444</v>
      </c>
      <c r="T52" s="569">
        <f t="shared" si="7"/>
        <v>74.490389571142146</v>
      </c>
      <c r="U52" s="569">
        <f t="shared" si="7"/>
        <v>84.490389571142146</v>
      </c>
      <c r="V52" s="569">
        <f t="shared" si="7"/>
        <v>94.490389571142146</v>
      </c>
      <c r="W52" s="564">
        <f t="shared" si="4"/>
        <v>79.490389571142217</v>
      </c>
    </row>
    <row r="53" spans="18:23" ht="16" customHeight="1">
      <c r="R53" s="575">
        <f t="shared" si="6"/>
        <v>6.9713596012203807E-3</v>
      </c>
      <c r="S53" s="569">
        <f t="shared" si="2"/>
        <v>64.709432964856703</v>
      </c>
      <c r="T53" s="569">
        <f t="shared" si="7"/>
        <v>74.709432964856404</v>
      </c>
      <c r="U53" s="569">
        <f t="shared" si="7"/>
        <v>84.709432964856404</v>
      </c>
      <c r="V53" s="569">
        <f t="shared" si="7"/>
        <v>94.709432964856404</v>
      </c>
      <c r="W53" s="564">
        <f t="shared" si="4"/>
        <v>79.709432964856475</v>
      </c>
    </row>
    <row r="54" spans="18:23" ht="16" customHeight="1">
      <c r="R54" s="575">
        <f t="shared" si="6"/>
        <v>5.0125647648597248E-3</v>
      </c>
      <c r="S54" s="569">
        <f t="shared" si="2"/>
        <v>64.928476358570961</v>
      </c>
      <c r="T54" s="569">
        <f t="shared" si="7"/>
        <v>74.928476358570663</v>
      </c>
      <c r="U54" s="569">
        <f t="shared" si="7"/>
        <v>84.928476358570663</v>
      </c>
      <c r="V54" s="569">
        <f t="shared" si="7"/>
        <v>94.928476358570663</v>
      </c>
      <c r="W54" s="564">
        <f t="shared" si="4"/>
        <v>79.928476358570734</v>
      </c>
    </row>
    <row r="55" spans="18:23" ht="16" customHeight="1">
      <c r="R55" s="575">
        <f t="shared" si="6"/>
        <v>3.5505105262134819E-3</v>
      </c>
      <c r="S55" s="569">
        <f t="shared" si="2"/>
        <v>65.14751975228522</v>
      </c>
      <c r="T55" s="569">
        <f t="shared" si="7"/>
        <v>75.147519752284921</v>
      </c>
      <c r="U55" s="569">
        <f t="shared" si="7"/>
        <v>85.147519752284921</v>
      </c>
      <c r="V55" s="569">
        <f t="shared" si="7"/>
        <v>95.147519752284921</v>
      </c>
      <c r="W55" s="564">
        <f t="shared" si="4"/>
        <v>80.147519752284992</v>
      </c>
    </row>
  </sheetData>
  <sheetCalcPr fullCalcOnLoad="1"/>
  <mergeCells count="4">
    <mergeCell ref="A1:N1"/>
    <mergeCell ref="S5:V5"/>
    <mergeCell ref="C2:D2"/>
    <mergeCell ref="K2:L2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0"/>
  <sheetViews>
    <sheetView zoomScale="95" workbookViewId="0">
      <selection activeCell="J9" sqref="J9"/>
    </sheetView>
  </sheetViews>
  <sheetFormatPr baseColWidth="10" defaultRowHeight="27" customHeight="1"/>
  <cols>
    <col min="1" max="11" width="7" style="8" customWidth="1"/>
    <col min="12" max="12" width="3.59765625" style="8" customWidth="1"/>
    <col min="13" max="17" width="10.69921875" style="8"/>
    <col min="18" max="21" width="9.8984375" style="8" customWidth="1"/>
    <col min="22" max="22" width="9" style="8" customWidth="1"/>
    <col min="23" max="23" width="10.69921875" style="8" customWidth="1"/>
    <col min="24" max="16384" width="10.69921875" style="8"/>
  </cols>
  <sheetData>
    <row r="1" spans="1:19" ht="27" customHeight="1">
      <c r="A1" s="244"/>
      <c r="B1" s="258" t="s">
        <v>188</v>
      </c>
      <c r="C1" s="259">
        <v>5</v>
      </c>
      <c r="D1" s="258" t="s">
        <v>273</v>
      </c>
      <c r="E1" s="259">
        <v>2</v>
      </c>
      <c r="F1" s="258" t="s">
        <v>279</v>
      </c>
      <c r="G1" s="259">
        <v>5.8</v>
      </c>
      <c r="H1" s="258" t="s">
        <v>280</v>
      </c>
      <c r="I1" s="259">
        <v>3</v>
      </c>
      <c r="J1" s="184"/>
      <c r="K1" s="185"/>
      <c r="N1" s="48"/>
      <c r="O1" s="48"/>
      <c r="P1" s="29" t="s">
        <v>126</v>
      </c>
      <c r="Q1" s="48"/>
      <c r="R1" s="48"/>
      <c r="S1" s="48"/>
    </row>
    <row r="2" spans="1:19" ht="27" customHeight="1">
      <c r="A2" s="244"/>
      <c r="B2" s="154" t="s">
        <v>187</v>
      </c>
      <c r="C2" s="155">
        <v>0.4</v>
      </c>
      <c r="D2" s="154" t="s">
        <v>281</v>
      </c>
      <c r="E2" s="155">
        <f>C2</f>
        <v>0.4</v>
      </c>
      <c r="F2" s="154" t="s">
        <v>283</v>
      </c>
      <c r="G2" s="155">
        <f>C2</f>
        <v>0.4</v>
      </c>
      <c r="H2" s="154" t="s">
        <v>284</v>
      </c>
      <c r="I2" s="155">
        <f>C2</f>
        <v>0.4</v>
      </c>
      <c r="J2" s="244"/>
      <c r="K2" s="244"/>
      <c r="M2" s="44"/>
      <c r="N2" s="291" t="s">
        <v>558</v>
      </c>
      <c r="O2" s="292" t="s">
        <v>106</v>
      </c>
      <c r="P2" s="293" t="s">
        <v>223</v>
      </c>
      <c r="Q2" s="247" t="s">
        <v>224</v>
      </c>
      <c r="R2" s="247" t="s">
        <v>225</v>
      </c>
      <c r="S2" s="193"/>
    </row>
    <row r="3" spans="1:19" ht="27" customHeight="1">
      <c r="A3" s="237"/>
      <c r="B3" s="224" t="s">
        <v>127</v>
      </c>
      <c r="C3" s="228">
        <v>4</v>
      </c>
      <c r="D3" s="224" t="s">
        <v>128</v>
      </c>
      <c r="E3" s="228">
        <v>5</v>
      </c>
      <c r="F3" s="229" t="s">
        <v>445</v>
      </c>
      <c r="G3" s="230">
        <v>0.05</v>
      </c>
      <c r="H3" s="230" t="s">
        <v>462</v>
      </c>
      <c r="I3" s="225">
        <v>0.95</v>
      </c>
      <c r="J3" s="237"/>
      <c r="K3" s="237"/>
      <c r="M3" s="44"/>
      <c r="N3" s="242" t="s">
        <v>588</v>
      </c>
      <c r="O3" s="260">
        <f>C1</f>
        <v>5</v>
      </c>
      <c r="P3" s="157">
        <f ca="1">C12</f>
        <v>4.5</v>
      </c>
      <c r="Q3" s="150">
        <f ca="1">C25</f>
        <v>0.31448454306939061</v>
      </c>
      <c r="R3" s="150">
        <f ca="1">C32</f>
        <v>6.3531023669934896</v>
      </c>
      <c r="S3" s="193"/>
    </row>
    <row r="4" spans="1:19" ht="27" customHeight="1">
      <c r="A4" s="238"/>
      <c r="B4" s="808" t="s">
        <v>258</v>
      </c>
      <c r="C4" s="808"/>
      <c r="D4" s="808"/>
      <c r="E4" s="808"/>
      <c r="F4" s="808"/>
      <c r="G4" s="808"/>
      <c r="H4" s="808"/>
      <c r="I4" s="808"/>
      <c r="J4" s="238"/>
      <c r="K4" s="238"/>
      <c r="M4" s="44"/>
      <c r="N4" s="242" t="s">
        <v>261</v>
      </c>
      <c r="O4" s="260">
        <f>E1</f>
        <v>2</v>
      </c>
      <c r="P4" s="157">
        <f ca="1">E12</f>
        <v>2</v>
      </c>
      <c r="Q4" s="150">
        <f ca="1">E25</f>
        <v>0.19889748900331888</v>
      </c>
      <c r="R4" s="150">
        <f ca="1">E32</f>
        <v>0</v>
      </c>
      <c r="S4" s="193"/>
    </row>
    <row r="5" spans="1:19" ht="27" customHeight="1">
      <c r="A5" s="238"/>
      <c r="B5" s="808" t="s">
        <v>677</v>
      </c>
      <c r="C5" s="808"/>
      <c r="D5" s="808" t="s">
        <v>678</v>
      </c>
      <c r="E5" s="808"/>
      <c r="F5" s="808" t="s">
        <v>380</v>
      </c>
      <c r="G5" s="808"/>
      <c r="H5" s="808" t="s">
        <v>381</v>
      </c>
      <c r="I5" s="808"/>
      <c r="J5" s="238"/>
      <c r="K5" s="238"/>
      <c r="M5" s="44"/>
      <c r="N5" s="242" t="s">
        <v>262</v>
      </c>
      <c r="O5" s="260">
        <f>G1</f>
        <v>5.8</v>
      </c>
      <c r="P5" s="157">
        <f ca="1">G12</f>
        <v>6</v>
      </c>
      <c r="Q5" s="150">
        <f ca="1">G25</f>
        <v>0.22237415298271898</v>
      </c>
      <c r="R5" s="150">
        <f ca="1">G32</f>
        <v>0</v>
      </c>
      <c r="S5" s="193"/>
    </row>
    <row r="6" spans="1:19" ht="27" customHeight="1">
      <c r="A6" s="232"/>
      <c r="B6" s="186" t="s">
        <v>275</v>
      </c>
      <c r="C6" s="213">
        <f ca="1">ROUND(NORMINV(RAND(),C$1,C$2),0)</f>
        <v>5</v>
      </c>
      <c r="D6" s="186" t="s">
        <v>481</v>
      </c>
      <c r="E6" s="213">
        <f ca="1">ROUND(NORMINV(RAND(),E$1,E$2),0)</f>
        <v>2</v>
      </c>
      <c r="F6" s="186" t="s">
        <v>485</v>
      </c>
      <c r="G6" s="213">
        <f t="shared" ref="G6:G9" ca="1" si="0">ROUND(NORMINV(RAND(),G$1,G$2),0)</f>
        <v>6</v>
      </c>
      <c r="H6" s="186" t="s">
        <v>486</v>
      </c>
      <c r="I6" s="213">
        <f ca="1">ROUND(NORMINV(RAND(),I$1,I$2),0)</f>
        <v>3</v>
      </c>
      <c r="J6" s="233"/>
      <c r="K6" s="233"/>
      <c r="M6" s="44"/>
      <c r="N6" s="242" t="s">
        <v>422</v>
      </c>
      <c r="O6" s="260">
        <f>I1</f>
        <v>3</v>
      </c>
      <c r="P6" s="157">
        <f ca="1">I12</f>
        <v>3</v>
      </c>
      <c r="Q6" s="150">
        <f ca="1">I25</f>
        <v>0.19889748900331888</v>
      </c>
      <c r="R6" s="150">
        <f ca="1">I32</f>
        <v>0</v>
      </c>
      <c r="S6" s="193"/>
    </row>
    <row r="7" spans="1:19" ht="27" customHeight="1">
      <c r="A7" s="232"/>
      <c r="B7" s="186" t="s">
        <v>482</v>
      </c>
      <c r="C7" s="213">
        <f ca="1">ROUND(NORMINV(RAND(),C$1,C$2),0)</f>
        <v>4</v>
      </c>
      <c r="D7" s="186" t="s">
        <v>498</v>
      </c>
      <c r="E7" s="213">
        <f ca="1">ROUND(NORMINV(RAND(),E$1,E$2),0)</f>
        <v>2</v>
      </c>
      <c r="F7" s="186" t="s">
        <v>625</v>
      </c>
      <c r="G7" s="213">
        <f t="shared" ca="1" si="0"/>
        <v>6</v>
      </c>
      <c r="H7" s="186" t="s">
        <v>626</v>
      </c>
      <c r="I7" s="213">
        <f ca="1">ROUND(NORMINV(RAND(),I$1,I$2),0)</f>
        <v>3</v>
      </c>
      <c r="J7" s="233"/>
      <c r="K7" s="233"/>
      <c r="M7" s="44"/>
      <c r="N7" s="261"/>
    </row>
    <row r="8" spans="1:19" ht="27" customHeight="1">
      <c r="A8" s="232"/>
      <c r="B8" s="186"/>
      <c r="C8" s="213"/>
      <c r="D8" s="186" t="s">
        <v>317</v>
      </c>
      <c r="E8" s="213">
        <f ca="1">ROUND(NORMINV(RAND(),E$1,E$2),0)</f>
        <v>2</v>
      </c>
      <c r="F8" s="186" t="s">
        <v>624</v>
      </c>
      <c r="G8" s="213">
        <f t="shared" ca="1" si="0"/>
        <v>6</v>
      </c>
      <c r="H8" s="186" t="s">
        <v>461</v>
      </c>
      <c r="I8" s="213">
        <f ca="1">ROUND(NORMINV(RAND(),I$1,I$2),0)</f>
        <v>3</v>
      </c>
      <c r="J8" s="233"/>
      <c r="K8" s="233"/>
      <c r="M8" s="44"/>
      <c r="N8" s="261"/>
    </row>
    <row r="9" spans="1:19" ht="27" customHeight="1">
      <c r="A9" s="232"/>
      <c r="B9" s="186"/>
      <c r="C9" s="213"/>
      <c r="D9" s="186" t="s">
        <v>642</v>
      </c>
      <c r="E9" s="213">
        <f ca="1">ROUND(NORMINV(RAND(),E$1,E$2),0)</f>
        <v>2</v>
      </c>
      <c r="F9" s="186" t="s">
        <v>11</v>
      </c>
      <c r="G9" s="213">
        <f t="shared" ca="1" si="0"/>
        <v>6</v>
      </c>
      <c r="H9" s="186" t="s">
        <v>12</v>
      </c>
      <c r="I9" s="213">
        <f ca="1">ROUND(NORMINV(RAND(),I$1,I$2),0)</f>
        <v>3</v>
      </c>
      <c r="J9" s="233"/>
      <c r="K9" s="233"/>
    </row>
    <row r="10" spans="1:19" ht="27" customHeight="1">
      <c r="A10" s="252"/>
      <c r="B10" s="253"/>
      <c r="C10" s="160"/>
      <c r="D10" s="253" t="s">
        <v>450</v>
      </c>
      <c r="E10" s="160">
        <f ca="1">ROUND(NORMINV(RAND(),E$1,E$2),0)</f>
        <v>2</v>
      </c>
      <c r="F10" s="253"/>
      <c r="G10" s="160"/>
      <c r="H10" s="253" t="s">
        <v>367</v>
      </c>
      <c r="I10" s="160">
        <f ca="1">ROUND(NORMINV(RAND(),I$1,I$2),0)</f>
        <v>3</v>
      </c>
      <c r="J10" s="254"/>
      <c r="K10" s="254"/>
    </row>
    <row r="11" spans="1:19" ht="27" customHeight="1">
      <c r="A11" s="234" t="s">
        <v>424</v>
      </c>
      <c r="B11" s="186" t="s">
        <v>425</v>
      </c>
      <c r="C11" s="213">
        <f ca="1">SUM(C6:C10)</f>
        <v>9</v>
      </c>
      <c r="D11" s="186" t="s">
        <v>426</v>
      </c>
      <c r="E11" s="213">
        <f ca="1">SUM(E6:E10)</f>
        <v>10</v>
      </c>
      <c r="F11" s="186" t="s">
        <v>427</v>
      </c>
      <c r="G11" s="213">
        <f ca="1">SUM(G6:G10)</f>
        <v>24</v>
      </c>
      <c r="H11" s="186" t="s">
        <v>428</v>
      </c>
      <c r="I11" s="213">
        <f ca="1">SUM(I6:I10)</f>
        <v>15</v>
      </c>
      <c r="J11" s="186" t="s">
        <v>429</v>
      </c>
      <c r="K11" s="191">
        <f ca="1">SUM(C11:I11)</f>
        <v>58</v>
      </c>
    </row>
    <row r="12" spans="1:19" ht="27" customHeight="1">
      <c r="A12" s="234" t="s">
        <v>430</v>
      </c>
      <c r="B12" s="186" t="s">
        <v>431</v>
      </c>
      <c r="C12" s="231">
        <f ca="1">C11/C13</f>
        <v>4.5</v>
      </c>
      <c r="D12" s="186" t="s">
        <v>269</v>
      </c>
      <c r="E12" s="231">
        <f ca="1">E11/E13</f>
        <v>2</v>
      </c>
      <c r="F12" s="186" t="s">
        <v>268</v>
      </c>
      <c r="G12" s="231">
        <f ca="1">G11/G13</f>
        <v>6</v>
      </c>
      <c r="H12" s="186" t="s">
        <v>216</v>
      </c>
      <c r="I12" s="231">
        <f ca="1">I11/I13</f>
        <v>3</v>
      </c>
      <c r="J12" s="186"/>
      <c r="K12" s="189"/>
    </row>
    <row r="13" spans="1:19" ht="27" customHeight="1">
      <c r="A13" s="202"/>
      <c r="B13" s="142" t="s">
        <v>335</v>
      </c>
      <c r="C13" s="195">
        <f ca="1">COUNT(C6:C10)</f>
        <v>2</v>
      </c>
      <c r="D13" s="202"/>
      <c r="E13" s="195">
        <f ca="1">COUNT(E6:E10)</f>
        <v>5</v>
      </c>
      <c r="F13" s="202"/>
      <c r="G13" s="195">
        <f ca="1">COUNT(G6:G10)</f>
        <v>4</v>
      </c>
      <c r="H13" s="202"/>
      <c r="I13" s="195">
        <f ca="1">COUNT(I6:I10)</f>
        <v>5</v>
      </c>
      <c r="J13" s="142" t="s">
        <v>497</v>
      </c>
      <c r="K13" s="235">
        <f ca="1">SUM(C13:I13)</f>
        <v>16</v>
      </c>
    </row>
    <row r="14" spans="1:19" ht="27" customHeight="1">
      <c r="A14" s="202"/>
      <c r="B14" s="236" t="s">
        <v>509</v>
      </c>
      <c r="C14" s="205">
        <f ca="1">SUMSQ(C6:C10)-C11^2/C13</f>
        <v>0.5</v>
      </c>
      <c r="D14" s="205"/>
      <c r="E14" s="205">
        <f ca="1">SUMSQ(E6:E10)-E11^2/E13</f>
        <v>0</v>
      </c>
      <c r="F14" s="205"/>
      <c r="G14" s="205">
        <f ca="1">SUMSQ(G6:G10)-G11^2/G13</f>
        <v>0</v>
      </c>
      <c r="H14" s="205"/>
      <c r="I14" s="205">
        <f ca="1">SUMSQ(I6:I10)-I11^2/I13</f>
        <v>0</v>
      </c>
      <c r="J14" s="236" t="s">
        <v>111</v>
      </c>
      <c r="K14" s="203">
        <f ca="1">SUM(C14:I14)</f>
        <v>0.5</v>
      </c>
    </row>
    <row r="15" spans="1:19" ht="27" customHeight="1">
      <c r="A15" s="202"/>
      <c r="B15" s="236" t="s">
        <v>259</v>
      </c>
      <c r="C15" s="205">
        <f ca="1">C11^2/C13</f>
        <v>40.5</v>
      </c>
      <c r="D15" s="205"/>
      <c r="E15" s="205">
        <f ca="1">E11^2/E13</f>
        <v>20</v>
      </c>
      <c r="F15" s="205"/>
      <c r="G15" s="205">
        <f ca="1">G11^2/G13</f>
        <v>144</v>
      </c>
      <c r="H15" s="205"/>
      <c r="I15" s="205">
        <f ca="1">I11^2/I13</f>
        <v>45</v>
      </c>
      <c r="J15" s="262" t="s">
        <v>260</v>
      </c>
      <c r="K15" s="203">
        <f ca="1">SUM(C15:I15)</f>
        <v>249.5</v>
      </c>
    </row>
    <row r="16" spans="1:19" ht="27" customHeight="1">
      <c r="A16" s="202"/>
      <c r="B16" s="142" t="s">
        <v>510</v>
      </c>
      <c r="C16" s="195">
        <f ca="1">C13-1</f>
        <v>1</v>
      </c>
      <c r="D16" s="202"/>
      <c r="E16" s="195">
        <f ca="1">E13-1</f>
        <v>4</v>
      </c>
      <c r="F16" s="202"/>
      <c r="G16" s="195">
        <f ca="1">G13-1</f>
        <v>3</v>
      </c>
      <c r="H16" s="202"/>
      <c r="I16" s="195">
        <f ca="1">I13-1</f>
        <v>4</v>
      </c>
      <c r="J16" s="142" t="s">
        <v>217</v>
      </c>
      <c r="K16" s="235">
        <f ca="1">SUM(C16:I16)</f>
        <v>12</v>
      </c>
    </row>
    <row r="17" spans="1:19" ht="27" customHeight="1">
      <c r="A17" s="202"/>
      <c r="B17" s="142" t="s">
        <v>537</v>
      </c>
      <c r="C17" s="201">
        <f ca="1">C14/C16</f>
        <v>0.5</v>
      </c>
      <c r="D17" s="201"/>
      <c r="E17" s="201">
        <f ca="1">E14/E16</f>
        <v>0</v>
      </c>
      <c r="F17" s="201"/>
      <c r="G17" s="201">
        <f ca="1">G14/G16</f>
        <v>0</v>
      </c>
      <c r="H17" s="201"/>
      <c r="I17" s="201">
        <f ca="1">I14/I16</f>
        <v>0</v>
      </c>
      <c r="J17" s="142" t="s">
        <v>372</v>
      </c>
      <c r="K17" s="203">
        <f ca="1">SUMPRODUCT(C17:I17,C18:I18)</f>
        <v>4.1666666666666664E-2</v>
      </c>
    </row>
    <row r="18" spans="1:19" ht="27" customHeight="1">
      <c r="A18" s="202"/>
      <c r="B18" s="142" t="s">
        <v>374</v>
      </c>
      <c r="C18" s="201">
        <f ca="1">C16/$K$16</f>
        <v>8.3333333333333329E-2</v>
      </c>
      <c r="D18" s="201"/>
      <c r="E18" s="201">
        <f ca="1">E16/$K$16</f>
        <v>0.33333333333333331</v>
      </c>
      <c r="F18" s="201"/>
      <c r="G18" s="201">
        <f ca="1">G16/$K$16</f>
        <v>0.25</v>
      </c>
      <c r="H18" s="201"/>
      <c r="I18" s="201">
        <f ca="1">I16/$K$16</f>
        <v>0.33333333333333331</v>
      </c>
      <c r="J18" s="202"/>
      <c r="K18" s="202"/>
    </row>
    <row r="19" spans="1:19" ht="27" customHeight="1">
      <c r="A19" s="202"/>
      <c r="B19" s="142" t="s">
        <v>375</v>
      </c>
      <c r="C19" s="201">
        <f ca="1">SQRT(C17)</f>
        <v>0.70710678118654757</v>
      </c>
      <c r="D19" s="201"/>
      <c r="E19" s="201">
        <f ca="1">SQRT(E17)</f>
        <v>0</v>
      </c>
      <c r="F19" s="201"/>
      <c r="G19" s="201">
        <f ca="1">SQRT(G17)</f>
        <v>0</v>
      </c>
      <c r="H19" s="201"/>
      <c r="I19" s="201">
        <f ca="1">SQRT(I17)</f>
        <v>0</v>
      </c>
      <c r="J19" s="202"/>
      <c r="K19" s="202"/>
    </row>
    <row r="20" spans="1:19" ht="27" customHeight="1">
      <c r="A20" s="202"/>
      <c r="B20" s="142" t="s">
        <v>376</v>
      </c>
      <c r="C20" s="201">
        <f ca="1">C17/C13</f>
        <v>0.25</v>
      </c>
      <c r="D20" s="201"/>
      <c r="E20" s="201">
        <f ca="1">E17/E13</f>
        <v>0</v>
      </c>
      <c r="F20" s="201"/>
      <c r="G20" s="201">
        <f ca="1">G17/G13</f>
        <v>0</v>
      </c>
      <c r="H20" s="201"/>
      <c r="I20" s="201">
        <f ca="1">I17/I13</f>
        <v>0</v>
      </c>
      <c r="J20" s="202"/>
      <c r="K20" s="202"/>
    </row>
    <row r="21" spans="1:19" ht="27" customHeight="1" thickBot="1">
      <c r="A21" s="294"/>
      <c r="B21" s="295" t="s">
        <v>377</v>
      </c>
      <c r="C21" s="296">
        <f ca="1">SQRT(C20)</f>
        <v>0.5</v>
      </c>
      <c r="D21" s="296"/>
      <c r="E21" s="296">
        <f ca="1">SQRT(E20)</f>
        <v>0</v>
      </c>
      <c r="F21" s="296"/>
      <c r="G21" s="296">
        <f ca="1">SQRT(G20)</f>
        <v>0</v>
      </c>
      <c r="H21" s="296"/>
      <c r="I21" s="296">
        <f ca="1">SQRT(I20)</f>
        <v>0</v>
      </c>
      <c r="J21" s="294"/>
      <c r="K21" s="294"/>
    </row>
    <row r="22" spans="1:19" ht="27" customHeight="1" thickTop="1">
      <c r="A22" s="193"/>
      <c r="B22" s="239" t="s">
        <v>373</v>
      </c>
      <c r="C22" s="240"/>
      <c r="D22" s="240"/>
      <c r="E22" s="240"/>
      <c r="F22" s="240"/>
      <c r="G22" s="240"/>
      <c r="H22" s="240"/>
      <c r="I22" s="240"/>
      <c r="J22" s="193"/>
      <c r="K22" s="241"/>
    </row>
    <row r="23" spans="1:19" ht="27" customHeight="1">
      <c r="A23" s="193"/>
      <c r="B23" s="142" t="s">
        <v>587</v>
      </c>
      <c r="C23" s="201">
        <f ca="1">SQRT($K$17/C13)</f>
        <v>0.14433756729740643</v>
      </c>
      <c r="D23" s="201"/>
      <c r="E23" s="201">
        <f ca="1">SQRT($K$17/E13)</f>
        <v>9.1287092917527679E-2</v>
      </c>
      <c r="F23" s="201"/>
      <c r="G23" s="201">
        <f ca="1">SQRT($K$17/G13)</f>
        <v>0.10206207261596575</v>
      </c>
      <c r="H23" s="201"/>
      <c r="I23" s="201">
        <f ca="1">SQRT($K$17/I13)</f>
        <v>9.1287092917527679E-2</v>
      </c>
      <c r="J23" s="193"/>
      <c r="K23" s="193"/>
    </row>
    <row r="24" spans="1:19" ht="27" customHeight="1">
      <c r="A24" s="193"/>
      <c r="B24" s="142" t="s">
        <v>634</v>
      </c>
      <c r="C24" s="201">
        <f ca="1">TINV(1-$I$3,$K$16)</f>
        <v>2.1788128271650695</v>
      </c>
      <c r="D24" s="202"/>
      <c r="E24" s="201">
        <f ca="1">TINV(1-$I$3,$K$16)</f>
        <v>2.1788128271650695</v>
      </c>
      <c r="F24" s="202"/>
      <c r="G24" s="201">
        <f ca="1">TINV(1-$I$3,$K$16)</f>
        <v>2.1788128271650695</v>
      </c>
      <c r="H24" s="202"/>
      <c r="I24" s="201">
        <f ca="1">TINV(1-$I$3,$K$16)</f>
        <v>2.1788128271650695</v>
      </c>
      <c r="J24" s="193"/>
      <c r="K24" s="193"/>
    </row>
    <row r="25" spans="1:19" ht="27" customHeight="1">
      <c r="A25" s="193"/>
      <c r="B25" s="145" t="s">
        <v>105</v>
      </c>
      <c r="C25" s="207">
        <f ca="1">C23*C24</f>
        <v>0.31448454306939061</v>
      </c>
      <c r="D25" s="207"/>
      <c r="E25" s="207">
        <f ca="1">E23*E24</f>
        <v>0.19889748900331888</v>
      </c>
      <c r="F25" s="207"/>
      <c r="G25" s="207">
        <f ca="1">G23*G24</f>
        <v>0.22237415298271898</v>
      </c>
      <c r="H25" s="207"/>
      <c r="I25" s="207">
        <f ca="1">I23*I24</f>
        <v>0.19889748900331888</v>
      </c>
      <c r="J25" s="193"/>
      <c r="K25" s="193"/>
    </row>
    <row r="26" spans="1:19" ht="27" customHeight="1">
      <c r="A26" s="193"/>
      <c r="B26" s="142" t="s">
        <v>616</v>
      </c>
      <c r="C26" s="201">
        <f ca="1">C12+C25</f>
        <v>4.8144845430693906</v>
      </c>
      <c r="D26" s="202"/>
      <c r="E26" s="201">
        <f ca="1">E12+E25</f>
        <v>2.1988974890033188</v>
      </c>
      <c r="F26" s="202"/>
      <c r="G26" s="201">
        <f ca="1">G12+G25</f>
        <v>6.2223741529827192</v>
      </c>
      <c r="H26" s="202"/>
      <c r="I26" s="201">
        <f ca="1">I12+I25</f>
        <v>3.1988974890033188</v>
      </c>
      <c r="J26" s="193"/>
      <c r="K26" s="193"/>
    </row>
    <row r="27" spans="1:19" ht="27" customHeight="1" thickBot="1">
      <c r="A27" s="297"/>
      <c r="B27" s="295" t="s">
        <v>617</v>
      </c>
      <c r="C27" s="296">
        <f ca="1">C12-C25</f>
        <v>4.1855154569306094</v>
      </c>
      <c r="D27" s="294"/>
      <c r="E27" s="296">
        <f ca="1">E12-E25</f>
        <v>1.8011025109966812</v>
      </c>
      <c r="F27" s="294"/>
      <c r="G27" s="296">
        <f ca="1">G12-G25</f>
        <v>5.7776258470172808</v>
      </c>
      <c r="H27" s="294"/>
      <c r="I27" s="296">
        <f ca="1">I12-I25</f>
        <v>2.8011025109966812</v>
      </c>
      <c r="J27" s="297"/>
      <c r="K27" s="297"/>
    </row>
    <row r="28" spans="1:19" ht="27" customHeight="1" thickTop="1">
      <c r="A28" s="193"/>
      <c r="B28" s="239" t="s">
        <v>263</v>
      </c>
      <c r="C28" s="240"/>
      <c r="D28" s="240"/>
      <c r="E28" s="240"/>
      <c r="F28" s="240"/>
      <c r="G28" s="240"/>
      <c r="H28" s="240"/>
      <c r="I28" s="240"/>
      <c r="J28" s="193"/>
      <c r="K28" s="193"/>
    </row>
    <row r="29" spans="1:19" ht="27" customHeight="1">
      <c r="A29" s="193"/>
      <c r="B29" s="142" t="s">
        <v>264</v>
      </c>
      <c r="C29" s="201">
        <f ca="1">C19</f>
        <v>0.70710678118654757</v>
      </c>
      <c r="D29" s="201"/>
      <c r="E29" s="201">
        <f ca="1">E19</f>
        <v>0</v>
      </c>
      <c r="F29" s="201"/>
      <c r="G29" s="201">
        <f ca="1">G19</f>
        <v>0</v>
      </c>
      <c r="H29" s="201"/>
      <c r="I29" s="201">
        <f ca="1">I19</f>
        <v>0</v>
      </c>
      <c r="J29" s="193"/>
      <c r="K29" s="193"/>
    </row>
    <row r="30" spans="1:19" ht="27" customHeight="1">
      <c r="A30" s="193"/>
      <c r="B30" s="142" t="s">
        <v>265</v>
      </c>
      <c r="C30" s="201">
        <f ca="1">C29/SQRT(C13)</f>
        <v>0.5</v>
      </c>
      <c r="D30" s="201"/>
      <c r="E30" s="201">
        <f ca="1">E29/SQRT(E13)</f>
        <v>0</v>
      </c>
      <c r="F30" s="201"/>
      <c r="G30" s="201">
        <f ca="1">G29/SQRT(G13)</f>
        <v>0</v>
      </c>
      <c r="H30" s="201"/>
      <c r="I30" s="201">
        <f ca="1">I29/SQRT(I13)</f>
        <v>0</v>
      </c>
      <c r="J30" s="193"/>
      <c r="K30" s="193"/>
      <c r="M30" s="198" t="s">
        <v>81</v>
      </c>
      <c r="N30" s="126"/>
      <c r="O30" s="126"/>
      <c r="P30" s="126"/>
      <c r="Q30" s="126"/>
      <c r="R30" s="126"/>
      <c r="S30" s="193"/>
    </row>
    <row r="31" spans="1:19" ht="27" customHeight="1">
      <c r="A31" s="193"/>
      <c r="B31" s="142" t="s">
        <v>634</v>
      </c>
      <c r="C31" s="201">
        <f ca="1">TINV(1-$I$3,C16)</f>
        <v>12.706204733986979</v>
      </c>
      <c r="D31" s="201"/>
      <c r="E31" s="201">
        <f ca="1">TINV(1-$I$3,E16)</f>
        <v>2.7764451050438019</v>
      </c>
      <c r="F31" s="201"/>
      <c r="G31" s="201">
        <f ca="1">TINV(1-$I$3,G16)</f>
        <v>3.1824463048868781</v>
      </c>
      <c r="H31" s="201"/>
      <c r="I31" s="201">
        <f ca="1">TINV(1-$I$3,I16)</f>
        <v>2.7764451050438019</v>
      </c>
      <c r="J31" s="193"/>
      <c r="K31" s="193"/>
      <c r="M31" s="239" t="s">
        <v>310</v>
      </c>
      <c r="N31" s="240" t="s">
        <v>311</v>
      </c>
      <c r="O31" s="240" t="s">
        <v>312</v>
      </c>
      <c r="P31" s="240" t="s">
        <v>533</v>
      </c>
      <c r="Q31" s="246" t="s">
        <v>101</v>
      </c>
      <c r="R31" s="246" t="s">
        <v>458</v>
      </c>
      <c r="S31" s="247" t="s">
        <v>603</v>
      </c>
    </row>
    <row r="32" spans="1:19" ht="27" customHeight="1">
      <c r="A32" s="193"/>
      <c r="B32" s="145" t="s">
        <v>266</v>
      </c>
      <c r="C32" s="207">
        <f ca="1">C30*C31</f>
        <v>6.3531023669934896</v>
      </c>
      <c r="D32" s="207"/>
      <c r="E32" s="207">
        <f ca="1">E30*E31</f>
        <v>0</v>
      </c>
      <c r="F32" s="207"/>
      <c r="G32" s="207">
        <f ca="1">G30*G31</f>
        <v>0</v>
      </c>
      <c r="H32" s="207"/>
      <c r="I32" s="207">
        <f ca="1">I30*I31</f>
        <v>0</v>
      </c>
      <c r="J32" s="193"/>
      <c r="K32" s="193"/>
      <c r="M32" s="127" t="s">
        <v>183</v>
      </c>
      <c r="N32" s="132">
        <f>C3-1</f>
        <v>3</v>
      </c>
      <c r="O32" s="127">
        <f ca="1">K15-K11^2/K13</f>
        <v>39.25</v>
      </c>
      <c r="P32" s="127">
        <f ca="1">O32/N32</f>
        <v>13.083333333333334</v>
      </c>
      <c r="Q32" s="385">
        <f ca="1">P32/P33</f>
        <v>314.00000000000006</v>
      </c>
      <c r="R32" s="385">
        <f ca="1">FINV(G3,N32,N33)</f>
        <v>3.4902948206546531</v>
      </c>
      <c r="S32" s="150" t="str">
        <f ca="1">IF(Q32&gt;R32,"Reject", "Don't reject")</f>
        <v>Reject</v>
      </c>
    </row>
    <row r="33" spans="1:19" ht="27" customHeight="1">
      <c r="A33" s="193"/>
      <c r="B33" s="142" t="s">
        <v>616</v>
      </c>
      <c r="C33" s="205">
        <f ca="1">C12+C32</f>
        <v>10.85310236699349</v>
      </c>
      <c r="D33" s="205"/>
      <c r="E33" s="205">
        <f ca="1">E12+E32</f>
        <v>2</v>
      </c>
      <c r="F33" s="205"/>
      <c r="G33" s="205">
        <f ca="1">G12+G32</f>
        <v>6</v>
      </c>
      <c r="H33" s="205"/>
      <c r="I33" s="205">
        <f ca="1">I12+I32</f>
        <v>3</v>
      </c>
      <c r="J33" s="193"/>
      <c r="K33" s="193"/>
      <c r="M33" s="127" t="s">
        <v>184</v>
      </c>
      <c r="N33" s="132">
        <f ca="1">K16</f>
        <v>12</v>
      </c>
      <c r="O33" s="127">
        <f ca="1">SUMSQ(C6:I10)-K15</f>
        <v>0.5</v>
      </c>
      <c r="P33" s="127">
        <f ca="1">O33/N33</f>
        <v>4.1666666666666664E-2</v>
      </c>
      <c r="Q33" s="127"/>
      <c r="R33" s="127"/>
      <c r="S33" s="193"/>
    </row>
    <row r="34" spans="1:19" ht="27" customHeight="1">
      <c r="A34" s="193"/>
      <c r="B34" s="142" t="s">
        <v>617</v>
      </c>
      <c r="C34" s="205">
        <f ca="1">C12-C32</f>
        <v>-1.8531023669934896</v>
      </c>
      <c r="D34" s="205"/>
      <c r="E34" s="205">
        <f ca="1">E12-E32</f>
        <v>2</v>
      </c>
      <c r="F34" s="205"/>
      <c r="G34" s="205">
        <f ca="1">G12-G32</f>
        <v>6</v>
      </c>
      <c r="H34" s="205"/>
      <c r="I34" s="205">
        <f ca="1">I12-I32</f>
        <v>3</v>
      </c>
      <c r="J34" s="193"/>
      <c r="K34" s="193"/>
      <c r="M34" s="198" t="s">
        <v>185</v>
      </c>
      <c r="N34" s="197">
        <f ca="1">N32+N33</f>
        <v>15</v>
      </c>
      <c r="O34" s="198">
        <f ca="1">O32+O33</f>
        <v>39.75</v>
      </c>
      <c r="P34" s="198"/>
      <c r="Q34" s="198"/>
      <c r="R34" s="198"/>
      <c r="S34" s="193"/>
    </row>
    <row r="36" spans="1:19" ht="27" customHeight="1">
      <c r="C36" s="388"/>
      <c r="E36" s="388"/>
      <c r="G36" s="388"/>
      <c r="I36" s="388"/>
    </row>
    <row r="50" spans="2:11" ht="27" customHeight="1">
      <c r="B50" s="173"/>
      <c r="C50" s="173"/>
      <c r="D50" s="173"/>
      <c r="E50" s="173"/>
      <c r="F50" s="173"/>
      <c r="G50" s="173"/>
      <c r="H50" s="173"/>
      <c r="I50" s="173"/>
      <c r="J50" s="173"/>
      <c r="K50" s="173"/>
    </row>
  </sheetData>
  <mergeCells count="5">
    <mergeCell ref="B4:I4"/>
    <mergeCell ref="B5:C5"/>
    <mergeCell ref="D5:E5"/>
    <mergeCell ref="F5:G5"/>
    <mergeCell ref="H5:I5"/>
  </mergeCells>
  <phoneticPr fontId="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Black screen</vt:lpstr>
      <vt:lpstr>Getting Started</vt:lpstr>
      <vt:lpstr>Tacoma Syndrome</vt:lpstr>
      <vt:lpstr>WSD-Incentive</vt:lpstr>
      <vt:lpstr>BSD-Incentive</vt:lpstr>
      <vt:lpstr>BSD-unequal n's</vt:lpstr>
      <vt:lpstr>Basic ANOVA</vt:lpstr>
      <vt:lpstr>ANOVA H0 True, False</vt:lpstr>
      <vt:lpstr>Unequal n's</vt:lpstr>
      <vt:lpstr>HOV test</vt:lpstr>
      <vt:lpstr>Two-way ANOVA</vt:lpstr>
      <vt:lpstr>Two-way ANOVA (2)</vt:lpstr>
      <vt:lpstr>Simple effects</vt:lpstr>
      <vt:lpstr>WSD-Incentive(2)</vt:lpstr>
      <vt:lpstr>WSD-Incentive(3)</vt:lpstr>
      <vt:lpstr>Typing Speeds</vt:lpstr>
      <vt:lpstr>Correlation</vt:lpstr>
      <vt:lpstr>Planned Comparisons (1)</vt:lpstr>
      <vt:lpstr>Planned Comparisons (2)</vt:lpstr>
      <vt:lpstr>PC-"Useless"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2012-04-16T15:12:31Z</dcterms:modified>
</cp:coreProperties>
</file>