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560" yWindow="260" windowWidth="18920" windowHeight="30360" tabRatio="736" activeTab="5"/>
  </bookViews>
  <sheets>
    <sheet name="Exam 1" sheetId="1" r:id="rId1"/>
    <sheet name="Exam2" sheetId="2" r:id="rId2"/>
    <sheet name="Exam 3" sheetId="3" r:id="rId3"/>
    <sheet name="Exam 4" sheetId="4" r:id="rId4"/>
    <sheet name="Exam 5" sheetId="5" r:id="rId5"/>
    <sheet name="Final Exam" sheetId="6" r:id="rId6"/>
  </sheets>
  <definedNames/>
  <calcPr fullCalcOnLoad="1"/>
</workbook>
</file>

<file path=xl/sharedStrings.xml><?xml version="1.0" encoding="utf-8"?>
<sst xmlns="http://schemas.openxmlformats.org/spreadsheetml/2006/main" count="521" uniqueCount="324">
  <si>
    <t>i)</t>
  </si>
  <si>
    <t>Obt F(14,16)</t>
  </si>
  <si>
    <t>Crit F(14,16)</t>
  </si>
  <si>
    <t>omega sq</t>
  </si>
  <si>
    <t xml:space="preserve">K = </t>
  </si>
  <si>
    <t>Method I</t>
  </si>
  <si>
    <t>Method II</t>
  </si>
  <si>
    <t>Method III</t>
  </si>
  <si>
    <t>NC =</t>
  </si>
  <si>
    <t xml:space="preserve">NR = </t>
  </si>
  <si>
    <t>CI (Schools random)</t>
  </si>
  <si>
    <t>CI (Schools fixed)</t>
  </si>
  <si>
    <t>WarpSpeed</t>
  </si>
  <si>
    <t>Level 1</t>
  </si>
  <si>
    <t>Level 2</t>
  </si>
  <si>
    <t>Level 3</t>
  </si>
  <si>
    <t>EXAMPLE:</t>
  </si>
  <si>
    <t xml:space="preserve"> </t>
  </si>
  <si>
    <t>I</t>
  </si>
  <si>
    <t>W</t>
  </si>
  <si>
    <t>T</t>
  </si>
  <si>
    <t>crit t</t>
  </si>
  <si>
    <t>CI</t>
  </si>
  <si>
    <t>SSW</t>
  </si>
  <si>
    <t>MSW</t>
  </si>
  <si>
    <t>means</t>
  </si>
  <si>
    <t>NY</t>
  </si>
  <si>
    <t>STRk^2</t>
  </si>
  <si>
    <t>Mu1 &lt; Mu2</t>
  </si>
  <si>
    <t>Condition 1</t>
  </si>
  <si>
    <t>Condition 2</t>
  </si>
  <si>
    <t>Sum of Squares</t>
  </si>
  <si>
    <t>Estimate from Cond 2 Only</t>
  </si>
  <si>
    <t xml:space="preserve"> Only estimate we have</t>
  </si>
  <si>
    <t>M2-M1</t>
  </si>
  <si>
    <t>Mean</t>
  </si>
  <si>
    <t>Crit t</t>
  </si>
  <si>
    <t>Relevant estimated sigmaM or sigmaM2-M1</t>
  </si>
  <si>
    <t>Confidence interval (M ± )</t>
  </si>
  <si>
    <t xml:space="preserve">n = </t>
  </si>
  <si>
    <t>Confidence level:</t>
  </si>
  <si>
    <t xml:space="preserve">crit t = </t>
  </si>
  <si>
    <t xml:space="preserve">est sigmaM = </t>
  </si>
  <si>
    <t xml:space="preserve">est sigma = </t>
  </si>
  <si>
    <t xml:space="preserve">SS = </t>
  </si>
  <si>
    <t xml:space="preserve">sigmaM = </t>
  </si>
  <si>
    <t xml:space="preserve">est sigmasq = </t>
  </si>
  <si>
    <t>Confidence interval: ±</t>
  </si>
  <si>
    <t xml:space="preserve">crit z = </t>
  </si>
  <si>
    <t xml:space="preserve">Known M = </t>
  </si>
  <si>
    <t xml:space="preserve">Know sigma = </t>
  </si>
  <si>
    <t>a</t>
  </si>
  <si>
    <t>b</t>
  </si>
  <si>
    <t>Sach</t>
  </si>
  <si>
    <t>Sugar</t>
  </si>
  <si>
    <t>Means</t>
  </si>
  <si>
    <t>SigmaSq (known)</t>
  </si>
  <si>
    <t>SigSqM (known)</t>
  </si>
  <si>
    <t>crit t (infinity)</t>
  </si>
  <si>
    <t>h)</t>
  </si>
  <si>
    <t xml:space="preserve">dfW = </t>
  </si>
  <si>
    <t>e)</t>
  </si>
  <si>
    <t>M3</t>
  </si>
  <si>
    <t xml:space="preserve">SSR = </t>
  </si>
  <si>
    <t>H1</t>
  </si>
  <si>
    <t>H2</t>
  </si>
  <si>
    <t>Residual</t>
  </si>
  <si>
    <t>% var</t>
  </si>
  <si>
    <t>RT</t>
  </si>
  <si>
    <t xml:space="preserve">H1: r = </t>
  </si>
  <si>
    <t xml:space="preserve">H2: r = </t>
  </si>
  <si>
    <t>1)</t>
  </si>
  <si>
    <t>mu</t>
  </si>
  <si>
    <t>sigma</t>
  </si>
  <si>
    <t>alpha</t>
  </si>
  <si>
    <t xml:space="preserve"> a)</t>
  </si>
  <si>
    <t xml:space="preserve"> nj</t>
  </si>
  <si>
    <t xml:space="preserve"> N</t>
  </si>
  <si>
    <t xml:space="preserve"> Tj</t>
  </si>
  <si>
    <t xml:space="preserve"> T</t>
  </si>
  <si>
    <t>Most sales in summer; fewest in winter. Interaction is such that for each season, sales are best for that season's color (e.g., Blue best for spring, Orange best for Fall, etc.).</t>
  </si>
  <si>
    <t xml:space="preserve">Best Guess: SST = </t>
  </si>
  <si>
    <t xml:space="preserve"> = dfW</t>
  </si>
  <si>
    <t xml:space="preserve"> Mj</t>
  </si>
  <si>
    <t xml:space="preserve"> Sumxij^2</t>
  </si>
  <si>
    <t xml:space="preserve"> SSj</t>
  </si>
  <si>
    <t xml:space="preserve"> estjSigmasq</t>
  </si>
  <si>
    <t>CI level</t>
  </si>
  <si>
    <t>ANOVA</t>
  </si>
  <si>
    <t>F</t>
  </si>
  <si>
    <t>estSigmaSq</t>
  </si>
  <si>
    <t>estSigSqM</t>
  </si>
  <si>
    <t>Obt t</t>
  </si>
  <si>
    <t>g)</t>
  </si>
  <si>
    <t>Tj^2</t>
  </si>
  <si>
    <t>Btwn cells</t>
  </si>
  <si>
    <t>Col</t>
  </si>
  <si>
    <t>Row</t>
  </si>
  <si>
    <t>Within cells</t>
  </si>
  <si>
    <t>MSI</t>
  </si>
  <si>
    <t>se</t>
  </si>
  <si>
    <t>Standard</t>
  </si>
  <si>
    <t>Accelerated</t>
  </si>
  <si>
    <t>Intense</t>
  </si>
  <si>
    <t>Warpspeed</t>
  </si>
  <si>
    <t xml:space="preserve"> Tj^2/nj</t>
  </si>
  <si>
    <t>crit t (no HOV)</t>
  </si>
  <si>
    <t>crit t (HOV)</t>
  </si>
  <si>
    <t>CI (no HOV)</t>
  </si>
  <si>
    <t>CI (HOV)</t>
  </si>
  <si>
    <t xml:space="preserve"> sem (no HOV)</t>
  </si>
  <si>
    <t>weights</t>
  </si>
  <si>
    <t>dfj</t>
  </si>
  <si>
    <t xml:space="preserve"> sem (HOV)</t>
  </si>
  <si>
    <t>dfW</t>
  </si>
  <si>
    <t>Cond 1</t>
  </si>
  <si>
    <t>Cond 2</t>
  </si>
  <si>
    <t xml:space="preserve">a = </t>
  </si>
  <si>
    <t xml:space="preserve">b = </t>
  </si>
  <si>
    <t>X = height</t>
  </si>
  <si>
    <t>Y = weight</t>
  </si>
  <si>
    <t xml:space="preserve">error = </t>
  </si>
  <si>
    <t xml:space="preserve">SumX = </t>
  </si>
  <si>
    <t xml:space="preserve">SumX^2 = </t>
  </si>
  <si>
    <t xml:space="preserve">nSumX^2 = </t>
  </si>
  <si>
    <t xml:space="preserve">SumY^2 = </t>
  </si>
  <si>
    <t xml:space="preserve">nSumY^2 = </t>
  </si>
  <si>
    <t xml:space="preserve">SumY = </t>
  </si>
  <si>
    <t xml:space="preserve">SumXY = </t>
  </si>
  <si>
    <t xml:space="preserve">nSumXY = </t>
  </si>
  <si>
    <t>X*Y</t>
  </si>
  <si>
    <t xml:space="preserve">(SumX)^2 = </t>
  </si>
  <si>
    <t xml:space="preserve">(SumY)^2 = </t>
  </si>
  <si>
    <t xml:space="preserve">SumX*SumY = </t>
  </si>
  <si>
    <t xml:space="preserve">Pearson rsq = </t>
  </si>
  <si>
    <t xml:space="preserve">Pearson r = </t>
  </si>
  <si>
    <t>Data</t>
  </si>
  <si>
    <t xml:space="preserve">Mean X = </t>
  </si>
  <si>
    <t xml:space="preserve">Mean Y = </t>
  </si>
  <si>
    <t>Original technique for making up the data: Population parameters</t>
  </si>
  <si>
    <t xml:space="preserve">Y variance = </t>
  </si>
  <si>
    <t xml:space="preserve">Y' variance = </t>
  </si>
  <si>
    <t xml:space="preserve">MSB = </t>
  </si>
  <si>
    <t xml:space="preserve">SSB = </t>
  </si>
  <si>
    <t xml:space="preserve">dfb = </t>
  </si>
  <si>
    <r>
      <t>n</t>
    </r>
    <r>
      <rPr>
        <vertAlign val="subscript"/>
        <sz val="11"/>
        <rFont val="Verdana"/>
        <family val="0"/>
      </rPr>
      <t>j</t>
    </r>
  </si>
  <si>
    <r>
      <t>T</t>
    </r>
    <r>
      <rPr>
        <vertAlign val="subscript"/>
        <sz val="11"/>
        <rFont val="Verdana"/>
        <family val="0"/>
      </rPr>
      <t>j</t>
    </r>
  </si>
  <si>
    <r>
      <t>T</t>
    </r>
    <r>
      <rPr>
        <vertAlign val="subscript"/>
        <sz val="11"/>
        <rFont val="Verdana"/>
        <family val="0"/>
      </rPr>
      <t>j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>/n</t>
    </r>
    <r>
      <rPr>
        <vertAlign val="subscript"/>
        <sz val="11"/>
        <rFont val="Verdana"/>
        <family val="0"/>
      </rPr>
      <t>j</t>
    </r>
  </si>
  <si>
    <r>
      <t>M</t>
    </r>
    <r>
      <rPr>
        <vertAlign val="subscript"/>
        <sz val="11"/>
        <rFont val="Verdana"/>
        <family val="0"/>
      </rPr>
      <t>j</t>
    </r>
  </si>
  <si>
    <r>
      <t>SS</t>
    </r>
    <r>
      <rPr>
        <vertAlign val="subscript"/>
        <sz val="11"/>
        <rFont val="Verdana"/>
        <family val="0"/>
      </rPr>
      <t>j</t>
    </r>
  </si>
  <si>
    <r>
      <t>df</t>
    </r>
    <r>
      <rPr>
        <vertAlign val="subscript"/>
        <sz val="11"/>
        <rFont val="Verdana"/>
        <family val="0"/>
      </rPr>
      <t>j</t>
    </r>
  </si>
  <si>
    <r>
      <t>“weight”: w</t>
    </r>
    <r>
      <rPr>
        <vertAlign val="subscript"/>
        <sz val="11"/>
        <rFont val="Verdana"/>
        <family val="0"/>
      </rPr>
      <t>j</t>
    </r>
  </si>
  <si>
    <t>g</t>
  </si>
  <si>
    <t xml:space="preserve">Obt F(3,8) = </t>
  </si>
  <si>
    <t xml:space="preserve">Crit F (3,8) = </t>
  </si>
  <si>
    <t>h</t>
  </si>
  <si>
    <r>
      <t>est</t>
    </r>
    <r>
      <rPr>
        <vertAlign val="subscript"/>
        <sz val="11"/>
        <rFont val="Verdana"/>
        <family val="0"/>
      </rPr>
      <t>j</t>
    </r>
    <r>
      <rPr>
        <sz val="11"/>
        <rFont val="Verdana"/>
        <family val="0"/>
      </rPr>
      <t>sigma</t>
    </r>
    <r>
      <rPr>
        <vertAlign val="superscript"/>
        <sz val="11"/>
        <rFont val="Verdana"/>
        <family val="0"/>
      </rPr>
      <t>2</t>
    </r>
  </si>
  <si>
    <t xml:space="preserve">est1 sigmasq = </t>
  </si>
  <si>
    <t xml:space="preserve">est4 sigmasq = </t>
  </si>
  <si>
    <t xml:space="preserve">Obt F(3,2) = </t>
  </si>
  <si>
    <t xml:space="preserve">Crit F (3,2) = </t>
  </si>
  <si>
    <t xml:space="preserve">dfB = </t>
  </si>
  <si>
    <t xml:space="preserve">  of the population variance, which is known to be 10</t>
  </si>
  <si>
    <t xml:space="preserve"> sigmM = </t>
  </si>
  <si>
    <t xml:space="preserve">dfT = </t>
  </si>
  <si>
    <t xml:space="preserve">nR = </t>
  </si>
  <si>
    <t>Source</t>
  </si>
  <si>
    <t>MS</t>
  </si>
  <si>
    <t>Obt F</t>
  </si>
  <si>
    <t>Crit F</t>
  </si>
  <si>
    <t>Between</t>
  </si>
  <si>
    <t>C</t>
  </si>
  <si>
    <t>R</t>
  </si>
  <si>
    <t>CxR</t>
  </si>
  <si>
    <t>Within</t>
  </si>
  <si>
    <t>Total</t>
  </si>
  <si>
    <t xml:space="preserve">est sigmaMjk = </t>
  </si>
  <si>
    <t xml:space="preserve">t(dfW) = </t>
  </si>
  <si>
    <t xml:space="preserve">CI = </t>
  </si>
  <si>
    <t>f</t>
  </si>
  <si>
    <t xml:space="preserve">dfb (Spring) = </t>
  </si>
  <si>
    <t>IQ</t>
  </si>
  <si>
    <t xml:space="preserve">mu = </t>
  </si>
  <si>
    <t xml:space="preserve">sigmasq = </t>
  </si>
  <si>
    <t xml:space="preserve">r = </t>
  </si>
  <si>
    <t>Negative</t>
  </si>
  <si>
    <t xml:space="preserve">zIQ = </t>
  </si>
  <si>
    <t xml:space="preserve">Pred zRT = </t>
  </si>
  <si>
    <t xml:space="preserve">Pred RT = </t>
  </si>
  <si>
    <t xml:space="preserve">zRT = </t>
  </si>
  <si>
    <t xml:space="preserve">Pred zIQ = </t>
  </si>
  <si>
    <t xml:space="preserve">Pred IQ = </t>
  </si>
  <si>
    <t>Dosage (mg)</t>
  </si>
  <si>
    <t>Mj</t>
  </si>
  <si>
    <t>Wj (1)</t>
  </si>
  <si>
    <t>Wj(2)</t>
  </si>
  <si>
    <t>Tj</t>
  </si>
  <si>
    <t>= T</t>
  </si>
  <si>
    <t xml:space="preserve">SSH1 = </t>
  </si>
  <si>
    <t xml:space="preserve">SSH2 = </t>
  </si>
  <si>
    <t xml:space="preserve">SSB (Spring) = </t>
  </si>
  <si>
    <t>MSB (Spring)</t>
  </si>
  <si>
    <t>M4-M1</t>
  </si>
  <si>
    <t xml:space="preserve">Obt F(3, 384) = </t>
  </si>
  <si>
    <t xml:space="preserve">Crit F(3,384) = </t>
  </si>
  <si>
    <t xml:space="preserve">SSW(Row 1) = </t>
  </si>
  <si>
    <t xml:space="preserve">dfW (Row 1) = </t>
  </si>
  <si>
    <t xml:space="preserve">MSW (Row 1) = </t>
  </si>
  <si>
    <t xml:space="preserve">SST = </t>
  </si>
  <si>
    <t xml:space="preserve">MST = best est sigmaSq = </t>
  </si>
  <si>
    <t xml:space="preserve">crit t(35) = </t>
  </si>
  <si>
    <t>Confidence interval = 50 ±</t>
  </si>
  <si>
    <t xml:space="preserve">N = </t>
  </si>
  <si>
    <t>SSxij2^2</t>
  </si>
  <si>
    <t>(over all scores)</t>
  </si>
  <si>
    <t>(for Paris only)</t>
  </si>
  <si>
    <t>Std err</t>
  </si>
  <si>
    <t>b-c, f)</t>
  </si>
  <si>
    <t>Goal: The confidence interval should be based on MST, with dfT = 35</t>
  </si>
  <si>
    <t>Best guesses: MSB and MSW would both be 10, since they are both estimates</t>
  </si>
  <si>
    <t xml:space="preserve"> = est sigmasq</t>
  </si>
  <si>
    <t xml:space="preserve">relevant "n" = N = </t>
  </si>
  <si>
    <t xml:space="preserve">Crit t = </t>
  </si>
  <si>
    <t xml:space="preserve">alpha: </t>
  </si>
  <si>
    <r>
      <t>SumTjk</t>
    </r>
    <r>
      <rPr>
        <vertAlign val="superscript"/>
        <sz val="11"/>
        <rFont val="Verdana"/>
        <family val="0"/>
      </rPr>
      <t>2</t>
    </r>
  </si>
  <si>
    <r>
      <t>SumTCj</t>
    </r>
    <r>
      <rPr>
        <vertAlign val="superscript"/>
        <sz val="11"/>
        <rFont val="Verdana"/>
        <family val="0"/>
      </rPr>
      <t>2</t>
    </r>
  </si>
  <si>
    <r>
      <t>SumTRk</t>
    </r>
    <r>
      <rPr>
        <vertAlign val="superscript"/>
        <sz val="11"/>
        <rFont val="Verdana"/>
        <family val="0"/>
      </rPr>
      <t>2</t>
    </r>
  </si>
  <si>
    <t>Paris</t>
  </si>
  <si>
    <t>London</t>
  </si>
  <si>
    <t>Tokyo</t>
  </si>
  <si>
    <r>
      <t>SumTR1</t>
    </r>
    <r>
      <rPr>
        <vertAlign val="superscript"/>
        <sz val="11"/>
        <rFont val="Verdana"/>
        <family val="0"/>
      </rPr>
      <t>2</t>
    </r>
  </si>
  <si>
    <r>
      <t>T</t>
    </r>
    <r>
      <rPr>
        <vertAlign val="superscript"/>
        <sz val="11"/>
        <rFont val="Verdana"/>
        <family val="0"/>
      </rPr>
      <t>2</t>
    </r>
  </si>
  <si>
    <r>
      <t>Sumxijk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</si>
  <si>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r>
      <t>Sumxij1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</si>
  <si>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r>
      <t xml:space="preserve"> = T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>/N</t>
    </r>
  </si>
  <si>
    <t>Spring</t>
  </si>
  <si>
    <t>Summer</t>
  </si>
  <si>
    <t>Fall</t>
  </si>
  <si>
    <t>Winter</t>
  </si>
  <si>
    <t>Blue</t>
  </si>
  <si>
    <t>Green</t>
  </si>
  <si>
    <t>Orange</t>
  </si>
  <si>
    <t>White</t>
  </si>
  <si>
    <t>Totals</t>
  </si>
  <si>
    <t>TCj</t>
  </si>
  <si>
    <t>TRk</t>
  </si>
  <si>
    <t xml:space="preserve"> = T</t>
  </si>
  <si>
    <t xml:space="preserve"> = N</t>
  </si>
  <si>
    <t xml:space="preserve">M = </t>
  </si>
  <si>
    <t xml:space="preserve">T = </t>
  </si>
  <si>
    <t xml:space="preserve">nC = </t>
  </si>
  <si>
    <t>Difference</t>
  </si>
  <si>
    <t>df</t>
  </si>
  <si>
    <t>Use difference scores (column D)</t>
  </si>
  <si>
    <t>See above</t>
  </si>
  <si>
    <t>Mean difference:</t>
  </si>
  <si>
    <t>n</t>
  </si>
  <si>
    <t>Sum</t>
  </si>
  <si>
    <t xml:space="preserve">Confidence level: </t>
  </si>
  <si>
    <t xml:space="preserve">criterion t: </t>
  </si>
  <si>
    <t xml:space="preserve">estsigmaM: </t>
  </si>
  <si>
    <t xml:space="preserve">Conf interval: ± </t>
  </si>
  <si>
    <t xml:space="preserve">Summary Score: </t>
  </si>
  <si>
    <t xml:space="preserve">H0 </t>
  </si>
  <si>
    <t>Mu1 = Mu2</t>
  </si>
  <si>
    <t xml:space="preserve">H1 </t>
  </si>
  <si>
    <t>totals</t>
  </si>
  <si>
    <t>SSTjk^2</t>
  </si>
  <si>
    <t>STCj^2</t>
  </si>
  <si>
    <t>T^2</t>
  </si>
  <si>
    <t>T^2/N</t>
  </si>
  <si>
    <t>SSSxijk^2</t>
  </si>
  <si>
    <t>F(random)</t>
  </si>
  <si>
    <t>F(fixed)</t>
  </si>
  <si>
    <t>Btwn</t>
  </si>
  <si>
    <t xml:space="preserve">SumTjk2 = </t>
  </si>
  <si>
    <t xml:space="preserve">SumTCj2 = </t>
  </si>
  <si>
    <t xml:space="preserve">Sum TRk2 = </t>
  </si>
  <si>
    <t xml:space="preserve">SumXijk2 = </t>
  </si>
  <si>
    <t>4</t>
  </si>
  <si>
    <t>Not a valid conclusion: Result could occur because of regression to the mean</t>
  </si>
  <si>
    <t>estSigM4-M1</t>
  </si>
  <si>
    <t>a-b)</t>
  </si>
  <si>
    <t>CI for this part smaller by a factor of 4 compared to CI for Part e. This is because there are 16 times as many data points for M (400) compared to Mjk (25)</t>
  </si>
  <si>
    <t>NOTE: What follows are only examples.</t>
  </si>
  <si>
    <t xml:space="preserve">confidence interval = </t>
  </si>
  <si>
    <t>est sigmaM =</t>
  </si>
  <si>
    <t>f)</t>
  </si>
  <si>
    <t>For example</t>
  </si>
  <si>
    <t>Subj</t>
  </si>
  <si>
    <t xml:space="preserve">If H0 true, M distributed with </t>
  </si>
  <si>
    <t>Sample mean difference =</t>
  </si>
  <si>
    <t xml:space="preserve">Mu = </t>
  </si>
  <si>
    <t xml:space="preserve">estsigmaM = </t>
  </si>
  <si>
    <t xml:space="preserve">df = </t>
  </si>
  <si>
    <t xml:space="preserve">Obt t = </t>
  </si>
  <si>
    <t>M1</t>
  </si>
  <si>
    <t>M2</t>
  </si>
  <si>
    <t>est sigmasq</t>
  </si>
  <si>
    <t>c</t>
  </si>
  <si>
    <t>d</t>
  </si>
  <si>
    <t>e</t>
  </si>
  <si>
    <t>1</t>
  </si>
  <si>
    <t>2</t>
  </si>
  <si>
    <t>SS</t>
  </si>
  <si>
    <t>3</t>
  </si>
  <si>
    <t>Reject H0</t>
  </si>
  <si>
    <t xml:space="preserve"> degrees of freedom</t>
  </si>
  <si>
    <t>Mu1 ≠ Mu2</t>
  </si>
  <si>
    <t xml:space="preserve">MuM2-M1 = </t>
  </si>
  <si>
    <t xml:space="preserve">estsigmaM2-M1 = </t>
  </si>
  <si>
    <t>Fail to reject H0</t>
  </si>
  <si>
    <t xml:space="preserve">Confidence interval = </t>
  </si>
  <si>
    <t>Condition 3</t>
  </si>
  <si>
    <t>Condition 4</t>
  </si>
  <si>
    <t>X</t>
  </si>
  <si>
    <t>Sums</t>
  </si>
  <si>
    <t>a)</t>
  </si>
  <si>
    <t>b)</t>
  </si>
  <si>
    <t>c)</t>
  </si>
  <si>
    <t>products</t>
  </si>
  <si>
    <t>d)</t>
  </si>
  <si>
    <t xml:space="preserve">MSW = </t>
  </si>
  <si>
    <t xml:space="preserve">SSW =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</si>
</sst>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/yyyy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.0"/>
    <numFmt numFmtId="174" formatCode="0.0%"/>
    <numFmt numFmtId="175" formatCode="_(* #,##0_);_(* \(#,##0\);_(* &quot;-&quot;??_);_(@_)"/>
    <numFmt numFmtId="176" formatCode="_(* #,##0.0_);_(* \(#,##0.0\);_(* &quot;-&quot;??_);_(@_)"/>
    <numFmt numFmtId="177" formatCode="_(* #,##0.000_);_(* \(#,##0.000\);_(* &quot;-&quot;?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1"/>
      <name val="Times"/>
      <family val="0"/>
    </font>
    <font>
      <sz val="11"/>
      <name val="Verdana"/>
      <family val="0"/>
    </font>
    <font>
      <u val="single"/>
      <sz val="11"/>
      <name val="Verdana"/>
      <family val="0"/>
    </font>
    <font>
      <vertAlign val="subscript"/>
      <sz val="11"/>
      <name val="Verdana"/>
      <family val="0"/>
    </font>
    <font>
      <vertAlign val="superscript"/>
      <sz val="11"/>
      <name val="Verdana"/>
      <family val="0"/>
    </font>
    <font>
      <sz val="12"/>
      <name val="Verdana"/>
      <family val="0"/>
    </font>
    <font>
      <b/>
      <sz val="10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4" fontId="0" fillId="0" borderId="0" xfId="0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68" fontId="0" fillId="0" borderId="5" xfId="0" applyNumberFormat="1" applyBorder="1" applyAlignment="1">
      <alignment horizontal="left"/>
    </xf>
    <xf numFmtId="168" fontId="0" fillId="0" borderId="6" xfId="0" applyNumberFormat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4" fontId="7" fillId="0" borderId="0" xfId="0" applyFont="1" applyAlignment="1">
      <alignment/>
    </xf>
    <xf numFmtId="3" fontId="0" fillId="0" borderId="7" xfId="0" applyNumberFormat="1" applyBorder="1" applyAlignment="1">
      <alignment horizontal="left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6" xfId="0" applyNumberFormat="1" applyBorder="1" applyAlignment="1">
      <alignment horizontal="left"/>
    </xf>
    <xf numFmtId="4" fontId="7" fillId="0" borderId="0" xfId="0" applyFont="1" applyBorder="1" applyAlignment="1">
      <alignment horizontal="center" vertical="top" wrapText="1"/>
    </xf>
    <xf numFmtId="4" fontId="7" fillId="0" borderId="4" xfId="0" applyFont="1" applyBorder="1" applyAlignment="1">
      <alignment horizontal="center" vertical="top" wrapText="1"/>
    </xf>
    <xf numFmtId="3" fontId="0" fillId="0" borderId="4" xfId="0" applyNumberFormat="1" applyBorder="1" applyAlignment="1">
      <alignment horizontal="center"/>
    </xf>
    <xf numFmtId="4" fontId="7" fillId="0" borderId="0" xfId="0" applyFont="1" applyAlignment="1">
      <alignment horizontal="center"/>
    </xf>
    <xf numFmtId="4" fontId="7" fillId="0" borderId="0" xfId="0" applyFont="1" applyAlignment="1">
      <alignment horizontal="left"/>
    </xf>
    <xf numFmtId="168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left"/>
    </xf>
    <xf numFmtId="3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168" fontId="7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right"/>
    </xf>
    <xf numFmtId="168" fontId="0" fillId="0" borderId="8" xfId="0" applyNumberFormat="1" applyBorder="1" applyAlignment="1">
      <alignment horizontal="center"/>
    </xf>
    <xf numFmtId="168" fontId="0" fillId="0" borderId="7" xfId="0" applyNumberFormat="1" applyBorder="1" applyAlignment="1">
      <alignment horizontal="left"/>
    </xf>
    <xf numFmtId="168" fontId="0" fillId="0" borderId="2" xfId="0" applyNumberFormat="1" applyBorder="1" applyAlignment="1">
      <alignment horizontal="right"/>
    </xf>
    <xf numFmtId="4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4" fontId="0" fillId="0" borderId="4" xfId="0" applyFont="1" applyBorder="1" applyAlignment="1">
      <alignment horizontal="right" vertical="top" wrapText="1"/>
    </xf>
    <xf numFmtId="4" fontId="0" fillId="0" borderId="0" xfId="0" applyFont="1" applyAlignment="1">
      <alignment horizontal="right" vertical="top" wrapText="1"/>
    </xf>
    <xf numFmtId="168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68" fontId="0" fillId="0" borderId="8" xfId="0" applyNumberFormat="1" applyBorder="1" applyAlignment="1">
      <alignment horizontal="left"/>
    </xf>
    <xf numFmtId="4" fontId="8" fillId="0" borderId="0" xfId="0" applyFont="1" applyBorder="1" applyAlignment="1">
      <alignment horizontal="right" vertical="top" wrapText="1"/>
    </xf>
    <xf numFmtId="4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4" fontId="9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 vertical="top" wrapText="1"/>
    </xf>
    <xf numFmtId="168" fontId="8" fillId="0" borderId="0" xfId="0" applyNumberFormat="1" applyFont="1" applyBorder="1" applyAlignment="1">
      <alignment horizontal="center" vertical="top" wrapText="1"/>
    </xf>
    <xf numFmtId="4" fontId="8" fillId="0" borderId="0" xfId="0" applyFont="1" applyBorder="1" applyAlignment="1">
      <alignment horizontal="right" vertical="center" wrapText="1"/>
    </xf>
    <xf numFmtId="4" fontId="8" fillId="0" borderId="2" xfId="0" applyFont="1" applyBorder="1" applyAlignment="1">
      <alignment horizontal="right" wrapText="1"/>
    </xf>
    <xf numFmtId="4" fontId="8" fillId="0" borderId="9" xfId="0" applyFont="1" applyBorder="1" applyAlignment="1">
      <alignment horizontal="right" wrapText="1"/>
    </xf>
    <xf numFmtId="4" fontId="8" fillId="0" borderId="11" xfId="0" applyFont="1" applyBorder="1" applyAlignment="1">
      <alignment horizontal="right" wrapText="1"/>
    </xf>
    <xf numFmtId="4" fontId="8" fillId="0" borderId="2" xfId="0" applyFont="1" applyBorder="1" applyAlignment="1">
      <alignment horizontal="right" vertical="center" wrapText="1"/>
    </xf>
    <xf numFmtId="4" fontId="8" fillId="0" borderId="9" xfId="0" applyFont="1" applyBorder="1" applyAlignment="1">
      <alignment horizontal="right" vertical="center" wrapText="1"/>
    </xf>
    <xf numFmtId="4" fontId="8" fillId="0" borderId="11" xfId="0" applyFont="1" applyBorder="1" applyAlignment="1">
      <alignment horizontal="right" vertical="center" wrapText="1"/>
    </xf>
    <xf numFmtId="4" fontId="8" fillId="0" borderId="11" xfId="0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left"/>
    </xf>
    <xf numFmtId="168" fontId="8" fillId="0" borderId="8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168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8" fontId="8" fillId="0" borderId="6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4" fontId="8" fillId="0" borderId="7" xfId="0" applyFont="1" applyBorder="1" applyAlignment="1">
      <alignment horizontal="right" vertical="top" wrapText="1"/>
    </xf>
    <xf numFmtId="168" fontId="8" fillId="0" borderId="3" xfId="0" applyNumberFormat="1" applyFont="1" applyBorder="1" applyAlignment="1">
      <alignment horizontal="center" vertical="top" wrapText="1"/>
    </xf>
    <xf numFmtId="168" fontId="8" fillId="0" borderId="8" xfId="0" applyNumberFormat="1" applyFont="1" applyBorder="1" applyAlignment="1">
      <alignment horizontal="center" vertical="top" wrapText="1"/>
    </xf>
    <xf numFmtId="168" fontId="8" fillId="0" borderId="2" xfId="0" applyNumberFormat="1" applyFont="1" applyBorder="1" applyAlignment="1">
      <alignment horizontal="right"/>
    </xf>
    <xf numFmtId="3" fontId="8" fillId="0" borderId="5" xfId="0" applyNumberFormat="1" applyFont="1" applyBorder="1" applyAlignment="1" quotePrefix="1">
      <alignment horizontal="left"/>
    </xf>
    <xf numFmtId="3" fontId="8" fillId="0" borderId="4" xfId="0" applyNumberFormat="1" applyFont="1" applyBorder="1" applyAlignment="1">
      <alignment horizontal="left"/>
    </xf>
    <xf numFmtId="4" fontId="12" fillId="0" borderId="0" xfId="0" applyFont="1" applyBorder="1" applyAlignment="1">
      <alignment horizontal="center"/>
    </xf>
    <xf numFmtId="4" fontId="12" fillId="0" borderId="0" xfId="0" applyFont="1" applyAlignment="1">
      <alignment horizontal="center"/>
    </xf>
    <xf numFmtId="4" fontId="8" fillId="0" borderId="0" xfId="0" applyFont="1" applyAlignment="1">
      <alignment horizontal="center" vertical="top" wrapText="1"/>
    </xf>
    <xf numFmtId="167" fontId="8" fillId="0" borderId="0" xfId="0" applyNumberFormat="1" applyFont="1" applyBorder="1" applyAlignment="1">
      <alignment horizontal="right" vertical="top" wrapText="1"/>
    </xf>
    <xf numFmtId="167" fontId="8" fillId="0" borderId="0" xfId="0" applyNumberFormat="1" applyFont="1" applyAlignment="1">
      <alignment horizontal="center"/>
    </xf>
    <xf numFmtId="4" fontId="8" fillId="0" borderId="4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center" vertical="top" wrapText="1"/>
    </xf>
    <xf numFmtId="4" fontId="8" fillId="0" borderId="13" xfId="0" applyFont="1" applyBorder="1" applyAlignment="1">
      <alignment horizontal="right" vertical="top" wrapText="1"/>
    </xf>
    <xf numFmtId="4" fontId="8" fillId="0" borderId="14" xfId="0" applyFont="1" applyBorder="1" applyAlignment="1">
      <alignment horizontal="right" vertical="top" wrapText="1"/>
    </xf>
    <xf numFmtId="168" fontId="8" fillId="0" borderId="1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 vertical="top" wrapText="1"/>
    </xf>
    <xf numFmtId="167" fontId="8" fillId="0" borderId="14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 vertical="top" wrapText="1"/>
    </xf>
    <xf numFmtId="168" fontId="8" fillId="0" borderId="4" xfId="0" applyNumberFormat="1" applyFont="1" applyBorder="1" applyAlignment="1">
      <alignment horizontal="right" vertical="top" wrapText="1"/>
    </xf>
    <xf numFmtId="168" fontId="8" fillId="0" borderId="14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 vertical="top" wrapText="1"/>
    </xf>
    <xf numFmtId="168" fontId="8" fillId="0" borderId="5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168" fontId="8" fillId="0" borderId="15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8" fontId="8" fillId="0" borderId="16" xfId="0" applyNumberFormat="1" applyFont="1" applyBorder="1" applyAlignment="1">
      <alignment horizontal="center"/>
    </xf>
    <xf numFmtId="168" fontId="8" fillId="0" borderId="17" xfId="0" applyNumberFormat="1" applyFont="1" applyBorder="1" applyAlignment="1">
      <alignment horizontal="left"/>
    </xf>
    <xf numFmtId="4" fontId="8" fillId="0" borderId="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8" fontId="8" fillId="0" borderId="6" xfId="0" applyNumberFormat="1" applyFont="1" applyBorder="1" applyAlignment="1">
      <alignment horizontal="right"/>
    </xf>
    <xf numFmtId="4" fontId="8" fillId="0" borderId="9" xfId="0" applyFont="1" applyBorder="1" applyAlignment="1">
      <alignment horizontal="right"/>
    </xf>
    <xf numFmtId="4" fontId="8" fillId="0" borderId="9" xfId="0" applyFont="1" applyBorder="1" applyAlignment="1">
      <alignment horizontal="center"/>
    </xf>
    <xf numFmtId="4" fontId="8" fillId="0" borderId="11" xfId="0" applyFont="1" applyBorder="1" applyAlignment="1">
      <alignment horizontal="left"/>
    </xf>
    <xf numFmtId="168" fontId="8" fillId="0" borderId="1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left"/>
    </xf>
    <xf numFmtId="167" fontId="8" fillId="0" borderId="6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 vertical="top"/>
    </xf>
    <xf numFmtId="4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4" fontId="13" fillId="0" borderId="13" xfId="0" applyFont="1" applyBorder="1" applyAlignment="1">
      <alignment/>
    </xf>
    <xf numFmtId="4" fontId="0" fillId="0" borderId="4" xfId="0" applyFont="1" applyBorder="1" applyAlignment="1">
      <alignment horizontal="center"/>
    </xf>
    <xf numFmtId="4" fontId="0" fillId="0" borderId="13" xfId="0" applyFont="1" applyBorder="1" applyAlignment="1">
      <alignment horizontal="center"/>
    </xf>
    <xf numFmtId="4" fontId="0" fillId="0" borderId="4" xfId="0" applyFont="1" applyBorder="1" applyAlignment="1">
      <alignment horizontal="left"/>
    </xf>
    <xf numFmtId="4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right" vertical="top" wrapText="1"/>
    </xf>
    <xf numFmtId="4" fontId="0" fillId="0" borderId="13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left"/>
    </xf>
    <xf numFmtId="4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Font="1" applyAlignment="1">
      <alignment horizontal="right"/>
    </xf>
    <xf numFmtId="4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quotePrefix="1">
      <alignment horizontal="right"/>
    </xf>
    <xf numFmtId="167" fontId="0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left"/>
    </xf>
    <xf numFmtId="4" fontId="0" fillId="0" borderId="2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2" xfId="0" applyFont="1" applyBorder="1" applyAlignment="1">
      <alignment horizontal="right"/>
    </xf>
    <xf numFmtId="4" fontId="0" fillId="0" borderId="5" xfId="0" applyFont="1" applyBorder="1" applyAlignment="1">
      <alignment horizontal="right"/>
    </xf>
    <xf numFmtId="4" fontId="0" fillId="0" borderId="9" xfId="0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0" fillId="0" borderId="0" xfId="0" applyFont="1" applyBorder="1" applyAlignment="1">
      <alignment horizontal="right"/>
    </xf>
    <xf numFmtId="4" fontId="0" fillId="0" borderId="6" xfId="0" applyFont="1" applyBorder="1" applyAlignment="1">
      <alignment horizontal="right"/>
    </xf>
    <xf numFmtId="4" fontId="0" fillId="0" borderId="9" xfId="0" applyFont="1" applyBorder="1" applyAlignment="1">
      <alignment horizontal="right"/>
    </xf>
    <xf numFmtId="4" fontId="0" fillId="0" borderId="6" xfId="0" applyFont="1" applyBorder="1" applyAlignment="1">
      <alignment/>
    </xf>
    <xf numFmtId="4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4" fontId="0" fillId="0" borderId="10" xfId="0" applyFont="1" applyBorder="1" applyAlignment="1">
      <alignment horizontal="left"/>
    </xf>
    <xf numFmtId="4" fontId="0" fillId="0" borderId="10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7" xfId="0" applyFont="1" applyBorder="1" applyAlignment="1">
      <alignment horizontal="right"/>
    </xf>
    <xf numFmtId="168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8" fontId="0" fillId="0" borderId="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68" fontId="0" fillId="0" borderId="8" xfId="0" applyNumberFormat="1" applyFont="1" applyBorder="1" applyAlignment="1">
      <alignment horizontal="left"/>
    </xf>
    <xf numFmtId="4" fontId="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 vertical="top" wrapText="1"/>
    </xf>
    <xf numFmtId="4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Font="1" applyBorder="1" applyAlignment="1">
      <alignment horizontal="center"/>
    </xf>
    <xf numFmtId="4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quotePrefix="1">
      <alignment horizontal="right"/>
    </xf>
    <xf numFmtId="167" fontId="0" fillId="0" borderId="0" xfId="0" applyNumberFormat="1" applyFont="1" applyBorder="1" applyAlignment="1">
      <alignment horizontal="left"/>
    </xf>
    <xf numFmtId="4" fontId="0" fillId="0" borderId="0" xfId="0" applyFont="1" applyBorder="1" applyAlignment="1">
      <alignment horizontal="left"/>
    </xf>
    <xf numFmtId="4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Font="1" applyFill="1" applyBorder="1" applyAlignment="1">
      <alignment horizontal="center"/>
    </xf>
    <xf numFmtId="4" fontId="0" fillId="0" borderId="0" xfId="0" applyFont="1" applyFill="1" applyBorder="1" applyAlignment="1" quotePrefix="1">
      <alignment horizontal="left"/>
    </xf>
    <xf numFmtId="4" fontId="0" fillId="0" borderId="0" xfId="0" applyFont="1" applyBorder="1" applyAlignment="1" quotePrefix="1">
      <alignment horizontal="left"/>
    </xf>
    <xf numFmtId="3" fontId="0" fillId="0" borderId="0" xfId="0" applyNumberFormat="1" applyBorder="1" applyAlignment="1">
      <alignment/>
    </xf>
    <xf numFmtId="4" fontId="0" fillId="0" borderId="4" xfId="0" applyFont="1" applyFill="1" applyBorder="1" applyAlignment="1">
      <alignment horizontal="right"/>
    </xf>
    <xf numFmtId="4" fontId="0" fillId="0" borderId="19" xfId="0" applyFont="1" applyBorder="1" applyAlignment="1">
      <alignment/>
    </xf>
    <xf numFmtId="4" fontId="0" fillId="0" borderId="7" xfId="0" applyFont="1" applyFill="1" applyBorder="1" applyAlignment="1">
      <alignment horizontal="right"/>
    </xf>
    <xf numFmtId="168" fontId="0" fillId="0" borderId="8" xfId="0" applyNumberFormat="1" applyFont="1" applyBorder="1" applyAlignment="1">
      <alignment horizontal="left"/>
    </xf>
    <xf numFmtId="168" fontId="0" fillId="0" borderId="5" xfId="0" applyNumberFormat="1" applyFont="1" applyBorder="1" applyAlignment="1">
      <alignment horizontal="left"/>
    </xf>
    <xf numFmtId="3" fontId="0" fillId="0" borderId="9" xfId="0" applyNumberFormat="1" applyBorder="1" applyAlignment="1">
      <alignment/>
    </xf>
    <xf numFmtId="4" fontId="0" fillId="0" borderId="6" xfId="0" applyFont="1" applyBorder="1" applyAlignment="1">
      <alignment/>
    </xf>
    <xf numFmtId="168" fontId="0" fillId="0" borderId="6" xfId="0" applyNumberFormat="1" applyFont="1" applyBorder="1" applyAlignment="1">
      <alignment horizontal="left"/>
    </xf>
    <xf numFmtId="168" fontId="0" fillId="0" borderId="6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74" fontId="0" fillId="0" borderId="6" xfId="21" applyNumberFormat="1" applyFont="1" applyBorder="1" applyAlignment="1">
      <alignment/>
    </xf>
    <xf numFmtId="3" fontId="0" fillId="0" borderId="11" xfId="0" applyNumberFormat="1" applyBorder="1" applyAlignment="1">
      <alignment/>
    </xf>
    <xf numFmtId="168" fontId="0" fillId="0" borderId="10" xfId="0" applyNumberForma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center"/>
    </xf>
    <xf numFmtId="175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0" fontId="14" fillId="0" borderId="15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8" fontId="14" fillId="0" borderId="1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68" fontId="14" fillId="0" borderId="11" xfId="0" applyNumberFormat="1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168" fontId="14" fillId="0" borderId="5" xfId="0" applyNumberFormat="1" applyFont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4" fillId="0" borderId="11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/>
    </xf>
    <xf numFmtId="3" fontId="14" fillId="0" borderId="1" xfId="0" applyNumberFormat="1" applyFont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/>
    </xf>
    <xf numFmtId="0" fontId="14" fillId="0" borderId="9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3" fontId="14" fillId="0" borderId="0" xfId="0" applyNumberFormat="1" applyFont="1" applyBorder="1" applyAlignment="1">
      <alignment horizontal="left"/>
    </xf>
    <xf numFmtId="0" fontId="14" fillId="0" borderId="6" xfId="0" applyNumberFormat="1" applyFont="1" applyBorder="1" applyAlignment="1">
      <alignment horizontal="left"/>
    </xf>
    <xf numFmtId="3" fontId="14" fillId="0" borderId="1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left"/>
    </xf>
    <xf numFmtId="168" fontId="15" fillId="0" borderId="0" xfId="0" applyNumberFormat="1" applyFont="1" applyAlignment="1">
      <alignment horizontal="center"/>
    </xf>
    <xf numFmtId="168" fontId="15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43" fontId="15" fillId="0" borderId="0" xfId="0" applyNumberFormat="1" applyFont="1" applyAlignment="1">
      <alignment horizontal="center"/>
    </xf>
    <xf numFmtId="168" fontId="14" fillId="0" borderId="17" xfId="0" applyNumberFormat="1" applyFont="1" applyBorder="1" applyAlignment="1">
      <alignment horizontal="right"/>
    </xf>
    <xf numFmtId="168" fontId="14" fillId="0" borderId="15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43" fontId="14" fillId="0" borderId="15" xfId="0" applyNumberFormat="1" applyFont="1" applyBorder="1" applyAlignment="1">
      <alignment horizontal="left"/>
    </xf>
    <xf numFmtId="43" fontId="14" fillId="0" borderId="17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/>
    </xf>
    <xf numFmtId="0" fontId="14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3" fontId="14" fillId="0" borderId="23" xfId="0" applyNumberFormat="1" applyFont="1" applyBorder="1" applyAlignment="1">
      <alignment horizontal="center"/>
    </xf>
    <xf numFmtId="168" fontId="14" fillId="0" borderId="24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15" fillId="0" borderId="1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vertical="top" wrapText="1"/>
    </xf>
    <xf numFmtId="4" fontId="0" fillId="0" borderId="0" xfId="0" applyAlignment="1">
      <alignment vertical="top" wrapText="1"/>
    </xf>
    <xf numFmtId="0" fontId="14" fillId="0" borderId="29" xfId="0" applyNumberFormat="1" applyFont="1" applyBorder="1" applyAlignment="1">
      <alignment horizontal="center" vertical="center"/>
    </xf>
    <xf numFmtId="4" fontId="0" fillId="0" borderId="23" xfId="0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4" fontId="0" fillId="0" borderId="31" xfId="0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4" fontId="0" fillId="0" borderId="21" xfId="0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4" fontId="0" fillId="0" borderId="3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41</xdr:row>
      <xdr:rowOff>104775</xdr:rowOff>
    </xdr:from>
    <xdr:to>
      <xdr:col>6</xdr:col>
      <xdr:colOff>485775</xdr:colOff>
      <xdr:row>41</xdr:row>
      <xdr:rowOff>5133975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439025"/>
          <a:ext cx="47053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67</xdr:row>
      <xdr:rowOff>47625</xdr:rowOff>
    </xdr:from>
    <xdr:to>
      <xdr:col>4</xdr:col>
      <xdr:colOff>504825</xdr:colOff>
      <xdr:row>90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7430750"/>
          <a:ext cx="35337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89</xdr:row>
      <xdr:rowOff>152400</xdr:rowOff>
    </xdr:from>
    <xdr:to>
      <xdr:col>4</xdr:col>
      <xdr:colOff>533400</xdr:colOff>
      <xdr:row>113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1516975"/>
          <a:ext cx="35242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zoomScale="125" zoomScaleNormal="125" workbookViewId="0" topLeftCell="A37">
      <selection activeCell="C84" sqref="C84"/>
    </sheetView>
  </sheetViews>
  <sheetFormatPr defaultColWidth="11.00390625" defaultRowHeight="12.75"/>
  <cols>
    <col min="1" max="1" width="4.375" style="2" customWidth="1"/>
    <col min="2" max="2" width="16.625" style="2" customWidth="1"/>
    <col min="3" max="3" width="12.625" style="2" bestFit="1" customWidth="1"/>
    <col min="4" max="4" width="10.75390625" style="9" customWidth="1"/>
    <col min="5" max="5" width="10.75390625" style="8" customWidth="1"/>
    <col min="6" max="16384" width="10.75390625" style="2" customWidth="1"/>
  </cols>
  <sheetData>
    <row r="1" spans="1:4" ht="12.75">
      <c r="A1" s="22" t="s">
        <v>302</v>
      </c>
      <c r="B1" s="9" t="s">
        <v>53</v>
      </c>
      <c r="C1" s="9" t="s">
        <v>54</v>
      </c>
      <c r="D1" s="9" t="s">
        <v>251</v>
      </c>
    </row>
    <row r="2" spans="2:7" ht="12.75">
      <c r="B2" s="30">
        <v>4</v>
      </c>
      <c r="C2" s="30">
        <v>5</v>
      </c>
      <c r="D2" s="9">
        <f>C2-B2</f>
        <v>1</v>
      </c>
      <c r="E2" s="11"/>
      <c r="F2" s="3"/>
      <c r="G2" s="3"/>
    </row>
    <row r="3" spans="1:7" ht="12.75">
      <c r="A3" s="7"/>
      <c r="B3" s="30">
        <v>5</v>
      </c>
      <c r="C3" s="30">
        <v>5</v>
      </c>
      <c r="D3" s="9">
        <f>C3-B3</f>
        <v>0</v>
      </c>
      <c r="E3" s="11"/>
      <c r="F3" s="3"/>
      <c r="G3" s="3"/>
    </row>
    <row r="4" spans="2:7" ht="12.75">
      <c r="B4" s="30">
        <v>9</v>
      </c>
      <c r="C4" s="30">
        <v>10</v>
      </c>
      <c r="D4" s="9">
        <f>C4-B4</f>
        <v>1</v>
      </c>
      <c r="E4" s="11"/>
      <c r="F4" s="3"/>
      <c r="G4" s="3"/>
    </row>
    <row r="5" spans="2:7" ht="12.75">
      <c r="B5" s="31">
        <v>2</v>
      </c>
      <c r="C5" s="31">
        <v>4</v>
      </c>
      <c r="D5" s="32">
        <f>C5-B5</f>
        <v>2</v>
      </c>
      <c r="E5" s="11"/>
      <c r="F5" s="3"/>
      <c r="G5" s="3"/>
    </row>
    <row r="6" spans="1:5" ht="13.5">
      <c r="A6" s="8"/>
      <c r="B6" s="33">
        <f>AVERAGE(B2:B5)</f>
        <v>5</v>
      </c>
      <c r="C6" s="33">
        <f>AVERAGE(C2:C5)</f>
        <v>6</v>
      </c>
      <c r="D6" s="40">
        <f>AVERAGE(D2:D5)</f>
        <v>1</v>
      </c>
      <c r="E6" s="8" t="s">
        <v>55</v>
      </c>
    </row>
    <row r="7" spans="1:5" ht="13.5">
      <c r="A7" s="8"/>
      <c r="B7" s="33"/>
      <c r="C7" s="33"/>
      <c r="D7" s="40">
        <f>SUM(D2:D5)</f>
        <v>4</v>
      </c>
      <c r="E7" s="8" t="s">
        <v>257</v>
      </c>
    </row>
    <row r="8" spans="1:5" ht="15" thickBot="1">
      <c r="A8" s="8"/>
      <c r="B8" s="33"/>
      <c r="C8" s="33"/>
      <c r="D8" s="15">
        <f>COUNT(D2:D5)</f>
        <v>4</v>
      </c>
      <c r="E8" s="8" t="s">
        <v>256</v>
      </c>
    </row>
    <row r="9" spans="2:5" ht="13.5">
      <c r="B9" s="23"/>
      <c r="C9" s="23"/>
      <c r="D9" s="35">
        <f>SUMSQ(D2:D5)-SUM(D2:D5)^2/D8</f>
        <v>2</v>
      </c>
      <c r="E9" s="36" t="s">
        <v>304</v>
      </c>
    </row>
    <row r="10" spans="2:5" ht="13.5">
      <c r="B10" s="23"/>
      <c r="C10" s="23"/>
      <c r="D10" s="37">
        <v>3</v>
      </c>
      <c r="E10" s="29" t="s">
        <v>252</v>
      </c>
    </row>
    <row r="11" spans="2:6" ht="15" thickBot="1">
      <c r="B11" s="34"/>
      <c r="C11" s="23"/>
      <c r="D11" s="38">
        <f>D9/D10</f>
        <v>0.6666666666666666</v>
      </c>
      <c r="E11" s="39" t="s">
        <v>298</v>
      </c>
      <c r="F11" s="3"/>
    </row>
    <row r="12" spans="2:3" ht="15" thickBot="1">
      <c r="B12" s="34"/>
      <c r="C12"/>
    </row>
    <row r="13" spans="1:4" ht="13.5" thickBot="1">
      <c r="A13" s="2" t="s">
        <v>51</v>
      </c>
      <c r="B13" s="43" t="s">
        <v>253</v>
      </c>
      <c r="C13" s="41"/>
      <c r="D13" s="25"/>
    </row>
    <row r="14" spans="2:3" ht="12.75">
      <c r="B14" s="11"/>
      <c r="C14" s="1"/>
    </row>
    <row r="15" spans="1:3" ht="12.75">
      <c r="A15" s="2" t="s">
        <v>52</v>
      </c>
      <c r="B15" s="8" t="s">
        <v>254</v>
      </c>
      <c r="C15" s="1"/>
    </row>
    <row r="16" ht="13.5" thickBot="1">
      <c r="B16" s="11"/>
    </row>
    <row r="17" spans="1:4" ht="13.5" thickBot="1">
      <c r="A17" s="2" t="s">
        <v>299</v>
      </c>
      <c r="B17" s="24" t="s">
        <v>255</v>
      </c>
      <c r="C17" s="41"/>
      <c r="D17" s="42">
        <f>D6</f>
        <v>1</v>
      </c>
    </row>
    <row r="18" ht="12.75">
      <c r="B18" s="11"/>
    </row>
    <row r="19" spans="1:3" ht="13.5" thickBot="1">
      <c r="A19" s="2" t="s">
        <v>300</v>
      </c>
      <c r="B19" s="2" t="s">
        <v>258</v>
      </c>
      <c r="C19" s="8">
        <v>80</v>
      </c>
    </row>
    <row r="20" spans="2:3" ht="12.75">
      <c r="B20" s="44" t="s">
        <v>259</v>
      </c>
      <c r="C20" s="20">
        <f>TINV((100-C19)/100,D10)</f>
        <v>1.6377443522674109</v>
      </c>
    </row>
    <row r="21" spans="1:3" ht="12.75">
      <c r="A21" s="8"/>
      <c r="B21" s="26" t="s">
        <v>260</v>
      </c>
      <c r="C21" s="21">
        <f>SQRT(D11/D8)</f>
        <v>0.408248290463863</v>
      </c>
    </row>
    <row r="22" spans="2:3" ht="13.5" thickBot="1">
      <c r="B22" s="28" t="s">
        <v>261</v>
      </c>
      <c r="C22" s="12">
        <f>C20*C21</f>
        <v>0.6686063320300172</v>
      </c>
    </row>
    <row r="23" spans="1:4" ht="13.5" thickBot="1">
      <c r="A23" s="7"/>
      <c r="B23" s="1"/>
      <c r="C23" s="5"/>
      <c r="D23" s="10"/>
    </row>
    <row r="24" spans="1:5" ht="12.75">
      <c r="A24" s="2" t="s">
        <v>301</v>
      </c>
      <c r="B24" s="13" t="s">
        <v>223</v>
      </c>
      <c r="C24" s="45">
        <v>0.05</v>
      </c>
      <c r="D24" s="46"/>
      <c r="E24" s="36"/>
    </row>
    <row r="25" spans="1:5" ht="12.75">
      <c r="A25" s="7"/>
      <c r="B25" s="47" t="s">
        <v>263</v>
      </c>
      <c r="C25" s="5" t="s">
        <v>264</v>
      </c>
      <c r="D25" s="10"/>
      <c r="E25" s="29"/>
    </row>
    <row r="26" spans="1:5" ht="12.75">
      <c r="A26" s="7"/>
      <c r="B26" s="47" t="s">
        <v>265</v>
      </c>
      <c r="C26" s="5" t="s">
        <v>28</v>
      </c>
      <c r="D26" s="10"/>
      <c r="E26" s="29"/>
    </row>
    <row r="27" spans="1:5" ht="12.75">
      <c r="A27" s="7"/>
      <c r="B27" s="47" t="s">
        <v>262</v>
      </c>
      <c r="C27" s="5" t="s">
        <v>291</v>
      </c>
      <c r="D27" s="10"/>
      <c r="E27" s="21">
        <f>D6</f>
        <v>1</v>
      </c>
    </row>
    <row r="28" spans="1:5" ht="12.75">
      <c r="A28" s="7"/>
      <c r="B28" s="48" t="s">
        <v>290</v>
      </c>
      <c r="C28" s="5"/>
      <c r="D28" s="10"/>
      <c r="E28" s="29"/>
    </row>
    <row r="29" spans="1:5" ht="12.75">
      <c r="A29" s="7"/>
      <c r="B29" s="47" t="s">
        <v>292</v>
      </c>
      <c r="C29" s="5">
        <v>0</v>
      </c>
      <c r="D29" s="10"/>
      <c r="E29" s="29"/>
    </row>
    <row r="30" spans="1:5" ht="12.75">
      <c r="A30" s="7"/>
      <c r="B30" s="47" t="s">
        <v>293</v>
      </c>
      <c r="C30" s="5">
        <f>C21</f>
        <v>0.408248290463863</v>
      </c>
      <c r="D30" s="10"/>
      <c r="E30" s="29"/>
    </row>
    <row r="31" spans="1:5" ht="12.75">
      <c r="A31" s="7"/>
      <c r="B31" s="47" t="s">
        <v>294</v>
      </c>
      <c r="C31" s="8">
        <f>D10</f>
        <v>3</v>
      </c>
      <c r="D31" s="10"/>
      <c r="E31" s="29"/>
    </row>
    <row r="32" spans="1:5" ht="12.75">
      <c r="A32" s="7"/>
      <c r="B32" s="47" t="s">
        <v>295</v>
      </c>
      <c r="C32" s="5">
        <f>(E27-C29)/C30</f>
        <v>2.449489742783178</v>
      </c>
      <c r="D32" s="10"/>
      <c r="E32" s="29"/>
    </row>
    <row r="33" spans="1:5" ht="12.75">
      <c r="A33" s="7"/>
      <c r="B33" s="47" t="s">
        <v>222</v>
      </c>
      <c r="C33" s="5">
        <f>TINV(C24*2,C31)</f>
        <v>2.353363434533132</v>
      </c>
      <c r="D33" s="10"/>
      <c r="E33" s="29"/>
    </row>
    <row r="34" spans="1:5" ht="13.5" thickBot="1">
      <c r="A34" s="7"/>
      <c r="B34" s="49" t="s">
        <v>306</v>
      </c>
      <c r="C34" s="50"/>
      <c r="D34" s="27"/>
      <c r="E34" s="39"/>
    </row>
    <row r="35" spans="1:4" ht="12.75">
      <c r="A35" s="7"/>
      <c r="B35" s="1"/>
      <c r="C35" s="5"/>
      <c r="D35" s="10"/>
    </row>
    <row r="36" spans="1:4" ht="12.75">
      <c r="A36" s="7"/>
      <c r="B36" s="1"/>
      <c r="C36" s="5"/>
      <c r="D36" s="10"/>
    </row>
    <row r="37" spans="2:4" ht="12.75">
      <c r="B37" s="11"/>
      <c r="D37" s="10"/>
    </row>
    <row r="38" spans="1:4" ht="12.75">
      <c r="A38" s="22" t="s">
        <v>303</v>
      </c>
      <c r="B38" s="51" t="s">
        <v>29</v>
      </c>
      <c r="C38" s="51" t="s">
        <v>30</v>
      </c>
      <c r="D38" s="10"/>
    </row>
    <row r="39" spans="2:4" ht="12.75">
      <c r="B39" s="52">
        <v>14</v>
      </c>
      <c r="C39" s="52">
        <v>15</v>
      </c>
      <c r="D39" s="10"/>
    </row>
    <row r="40" spans="2:4" ht="12.75">
      <c r="B40" s="52"/>
      <c r="C40" s="52">
        <v>16</v>
      </c>
      <c r="D40" s="10"/>
    </row>
    <row r="41" spans="2:4" ht="12.75">
      <c r="B41" s="52"/>
      <c r="C41" s="52">
        <v>16</v>
      </c>
      <c r="D41" s="10"/>
    </row>
    <row r="42" spans="2:3" ht="12.75">
      <c r="B42" s="52"/>
      <c r="C42" s="52">
        <v>16</v>
      </c>
    </row>
    <row r="43" spans="2:3" ht="12.75">
      <c r="B43" s="51"/>
      <c r="C43" s="51">
        <v>17</v>
      </c>
    </row>
    <row r="44" spans="2:5" ht="12.75">
      <c r="B44" s="6">
        <f>SUM(B39:B43)</f>
        <v>14</v>
      </c>
      <c r="C44" s="6">
        <f>SUM(C39:C43)</f>
        <v>80</v>
      </c>
      <c r="D44" s="17" t="s">
        <v>257</v>
      </c>
      <c r="E44" s="5"/>
    </row>
    <row r="45" spans="2:8" ht="12.75">
      <c r="B45" s="2">
        <f>COUNT(B39:B43)</f>
        <v>1</v>
      </c>
      <c r="C45" s="2">
        <f>COUNT(C39:C43)</f>
        <v>5</v>
      </c>
      <c r="D45" s="16" t="s">
        <v>256</v>
      </c>
      <c r="G45" s="3"/>
      <c r="H45" s="3"/>
    </row>
    <row r="46" spans="2:8" ht="12.75">
      <c r="B46" s="2">
        <f>B45-1</f>
        <v>0</v>
      </c>
      <c r="C46" s="2">
        <f>C45-1</f>
        <v>4</v>
      </c>
      <c r="D46" s="17" t="s">
        <v>252</v>
      </c>
      <c r="G46" s="3"/>
      <c r="H46" s="3"/>
    </row>
    <row r="47" spans="2:8" ht="12.75">
      <c r="B47" s="3">
        <f>SUMSQ(B39:B43)-B44^2/B45</f>
        <v>0</v>
      </c>
      <c r="C47" s="3">
        <f>SUMSQ(C39:C43)-C44^2/C45</f>
        <v>2</v>
      </c>
      <c r="D47" s="16" t="s">
        <v>31</v>
      </c>
      <c r="G47" s="1"/>
      <c r="H47" s="1"/>
    </row>
    <row r="48" spans="2:4" ht="12.75">
      <c r="B48" s="3" t="e">
        <f>B47/B46</f>
        <v>#DIV/0!</v>
      </c>
      <c r="C48" s="3">
        <f>C47/C46</f>
        <v>0.5</v>
      </c>
      <c r="D48" s="16" t="s">
        <v>298</v>
      </c>
    </row>
    <row r="49" ht="13.5" thickBot="1">
      <c r="B49" s="3"/>
    </row>
    <row r="50" spans="1:4" ht="13.5" thickBot="1">
      <c r="A50" s="2" t="s">
        <v>51</v>
      </c>
      <c r="B50" s="53">
        <f>AVERAGE(B39:B43)</f>
        <v>14</v>
      </c>
      <c r="C50" s="14">
        <f>AVERAGE(C39:C43)</f>
        <v>16</v>
      </c>
      <c r="D50" s="54" t="s">
        <v>55</v>
      </c>
    </row>
    <row r="51" ht="12.75">
      <c r="B51" s="3"/>
    </row>
    <row r="52" spans="1:4" ht="12.75">
      <c r="A52" s="2" t="s">
        <v>52</v>
      </c>
      <c r="B52" s="3">
        <f>C48</f>
        <v>0.5</v>
      </c>
      <c r="D52" s="3" t="s">
        <v>32</v>
      </c>
    </row>
    <row r="53" spans="1:2" ht="13.5" thickBot="1">
      <c r="A53" s="8"/>
      <c r="B53" s="3"/>
    </row>
    <row r="54" spans="1:4" ht="12.75">
      <c r="A54" s="2" t="s">
        <v>299</v>
      </c>
      <c r="B54" s="44">
        <f>B52</f>
        <v>0.5</v>
      </c>
      <c r="C54" s="55" t="s">
        <v>33</v>
      </c>
      <c r="D54" s="56"/>
    </row>
    <row r="55" spans="2:4" ht="13.5" thickBot="1">
      <c r="B55" s="28">
        <f>C46</f>
        <v>4</v>
      </c>
      <c r="C55" s="57" t="s">
        <v>307</v>
      </c>
      <c r="D55" s="58"/>
    </row>
    <row r="56" ht="12.75">
      <c r="A56" s="7"/>
    </row>
    <row r="57" spans="1:3" ht="12.75">
      <c r="A57" s="2" t="s">
        <v>300</v>
      </c>
      <c r="B57" s="2" t="s">
        <v>258</v>
      </c>
      <c r="C57" s="8">
        <v>95</v>
      </c>
    </row>
    <row r="58" spans="2:4" ht="12.75">
      <c r="B58" s="19" t="s">
        <v>296</v>
      </c>
      <c r="C58" s="19" t="s">
        <v>297</v>
      </c>
      <c r="D58" s="18" t="s">
        <v>34</v>
      </c>
    </row>
    <row r="59" spans="2:7" ht="12.75">
      <c r="B59" s="3">
        <f>B50</f>
        <v>14</v>
      </c>
      <c r="C59" s="3">
        <f>C50</f>
        <v>16</v>
      </c>
      <c r="D59" s="3">
        <f>C59-B59</f>
        <v>2</v>
      </c>
      <c r="E59" s="8" t="s">
        <v>35</v>
      </c>
      <c r="F59" s="9"/>
      <c r="G59" s="9"/>
    </row>
    <row r="60" spans="2:7" ht="12.75">
      <c r="B60" s="3">
        <f>TINV((100-$C$57)/100,$C$46)</f>
        <v>2.776445105043803</v>
      </c>
      <c r="C60" s="3">
        <f>TINV((100-$C$57)/100,$C$46)</f>
        <v>2.776445105043803</v>
      </c>
      <c r="D60" s="3">
        <f>TINV((100-$C$57)/100,$C$46)</f>
        <v>2.776445105043803</v>
      </c>
      <c r="E60" s="11" t="s">
        <v>36</v>
      </c>
      <c r="F60" s="4"/>
      <c r="G60" s="4"/>
    </row>
    <row r="61" spans="2:5" ht="12.75">
      <c r="B61" s="3">
        <f>SQRT($C$48/B45)</f>
        <v>0.7071067811865476</v>
      </c>
      <c r="C61" s="3">
        <f>SQRT($C$48/C45)</f>
        <v>0.31622776601683794</v>
      </c>
      <c r="D61" s="3">
        <f>SQRT(C48/B45+C48/C45)</f>
        <v>0.7745966692414834</v>
      </c>
      <c r="E61" s="8" t="s">
        <v>37</v>
      </c>
    </row>
    <row r="62" spans="2:5" ht="12.75">
      <c r="B62" s="3">
        <f>B60*B61</f>
        <v>1.9632431613686694</v>
      </c>
      <c r="C62" s="3">
        <f>C60*C61</f>
        <v>0.8779890330363868</v>
      </c>
      <c r="D62" s="3">
        <f>D60*D61</f>
        <v>2.1506251306987503</v>
      </c>
      <c r="E62" s="8" t="s">
        <v>38</v>
      </c>
    </row>
    <row r="63" spans="1:7" ht="13.5" thickBot="1">
      <c r="A63" s="7"/>
      <c r="D63" s="2"/>
      <c r="F63" s="9"/>
      <c r="G63" s="9"/>
    </row>
    <row r="64" spans="1:7" ht="12.75">
      <c r="A64" s="2" t="s">
        <v>301</v>
      </c>
      <c r="B64" s="13" t="s">
        <v>223</v>
      </c>
      <c r="C64" s="45">
        <v>0.05</v>
      </c>
      <c r="D64" s="46"/>
      <c r="E64" s="36"/>
      <c r="F64" s="9"/>
      <c r="G64" s="9"/>
    </row>
    <row r="65" spans="2:7" ht="12.75">
      <c r="B65" s="47" t="s">
        <v>262</v>
      </c>
      <c r="C65" s="5" t="s">
        <v>291</v>
      </c>
      <c r="D65" s="10"/>
      <c r="E65" s="21">
        <f>D59</f>
        <v>2</v>
      </c>
      <c r="F65" s="9"/>
      <c r="G65" s="9"/>
    </row>
    <row r="66" spans="2:7" ht="12.75">
      <c r="B66" s="47" t="s">
        <v>263</v>
      </c>
      <c r="C66" s="5" t="s">
        <v>264</v>
      </c>
      <c r="D66" s="10"/>
      <c r="E66" s="29"/>
      <c r="F66" s="9"/>
      <c r="G66" s="9"/>
    </row>
    <row r="67" spans="2:7" ht="12.75">
      <c r="B67" s="47" t="s">
        <v>265</v>
      </c>
      <c r="C67" s="5" t="s">
        <v>308</v>
      </c>
      <c r="D67" s="10"/>
      <c r="E67" s="29"/>
      <c r="F67" s="9"/>
      <c r="G67" s="9"/>
    </row>
    <row r="68" spans="2:7" ht="12.75">
      <c r="B68" s="48" t="s">
        <v>290</v>
      </c>
      <c r="C68" s="5"/>
      <c r="D68" s="10"/>
      <c r="E68" s="29"/>
      <c r="F68" s="9"/>
      <c r="G68" s="9"/>
    </row>
    <row r="69" spans="2:7" ht="12.75">
      <c r="B69" s="47" t="s">
        <v>309</v>
      </c>
      <c r="C69" s="5">
        <v>0</v>
      </c>
      <c r="D69" s="10"/>
      <c r="E69" s="29"/>
      <c r="F69" s="9"/>
      <c r="G69" s="9"/>
    </row>
    <row r="70" spans="2:7" ht="12.75">
      <c r="B70" s="47" t="s">
        <v>310</v>
      </c>
      <c r="C70" s="5">
        <f>D61</f>
        <v>0.7745966692414834</v>
      </c>
      <c r="D70" s="10"/>
      <c r="E70" s="29"/>
      <c r="F70" s="9"/>
      <c r="G70" s="9"/>
    </row>
    <row r="71" spans="2:7" ht="12.75">
      <c r="B71" s="47" t="s">
        <v>294</v>
      </c>
      <c r="C71" s="8">
        <f>C46</f>
        <v>4</v>
      </c>
      <c r="D71" s="10"/>
      <c r="E71" s="29"/>
      <c r="F71" s="9"/>
      <c r="G71" s="9"/>
    </row>
    <row r="72" spans="2:7" ht="12.75">
      <c r="B72" s="47" t="s">
        <v>295</v>
      </c>
      <c r="C72" s="5">
        <f>(E65-C69)/C70</f>
        <v>2.581988897471611</v>
      </c>
      <c r="D72" s="10"/>
      <c r="E72" s="29"/>
      <c r="F72" s="9"/>
      <c r="G72" s="9"/>
    </row>
    <row r="73" spans="1:5" ht="12.75">
      <c r="A73" s="7"/>
      <c r="B73" s="47" t="s">
        <v>222</v>
      </c>
      <c r="C73" s="5">
        <f>TINV(0.05,C71)</f>
        <v>2.776445105043803</v>
      </c>
      <c r="D73" s="10"/>
      <c r="E73" s="29"/>
    </row>
    <row r="74" spans="2:5" ht="13.5" thickBot="1">
      <c r="B74" s="49" t="s">
        <v>311</v>
      </c>
      <c r="C74" s="50"/>
      <c r="D74" s="27"/>
      <c r="E74" s="39"/>
    </row>
    <row r="77" spans="1:3" ht="12.75">
      <c r="A77" s="22" t="s">
        <v>305</v>
      </c>
      <c r="B77" s="2" t="s">
        <v>40</v>
      </c>
      <c r="C77" s="8">
        <v>90</v>
      </c>
    </row>
    <row r="78" spans="2:3" ht="12.75">
      <c r="B78" s="2" t="s">
        <v>39</v>
      </c>
      <c r="C78" s="8">
        <v>6</v>
      </c>
    </row>
    <row r="79" spans="2:3" ht="12.75">
      <c r="B79" s="3" t="s">
        <v>47</v>
      </c>
      <c r="C79" s="11">
        <v>1.5</v>
      </c>
    </row>
    <row r="80" spans="2:3" ht="12.75">
      <c r="B80" s="3"/>
      <c r="C80" s="11"/>
    </row>
    <row r="81" spans="1:3" ht="12.75">
      <c r="A81" s="2" t="s">
        <v>51</v>
      </c>
      <c r="B81" s="3" t="s">
        <v>294</v>
      </c>
      <c r="C81" s="8">
        <f>C78-1</f>
        <v>5</v>
      </c>
    </row>
    <row r="82" spans="2:3" ht="12.75">
      <c r="B82" s="2" t="s">
        <v>41</v>
      </c>
      <c r="C82" s="11">
        <f>TINV((100-C77)/100,C81)</f>
        <v>2.0150483720881205</v>
      </c>
    </row>
    <row r="83" spans="2:3" ht="12.75">
      <c r="B83" s="3" t="s">
        <v>42</v>
      </c>
      <c r="C83" s="11">
        <f>C79/C82</f>
        <v>0.7443990034073501</v>
      </c>
    </row>
    <row r="84" spans="2:3" ht="12.75">
      <c r="B84" s="3" t="s">
        <v>43</v>
      </c>
      <c r="C84" s="11">
        <f>C83*SQRT(C78)</f>
        <v>1.823397723384324</v>
      </c>
    </row>
    <row r="85" spans="2:3" ht="13.5" thickBot="1">
      <c r="B85" s="3" t="s">
        <v>46</v>
      </c>
      <c r="C85" s="11">
        <f>C84^2</f>
        <v>3.3247792576431356</v>
      </c>
    </row>
    <row r="86" spans="2:3" ht="13.5" thickBot="1">
      <c r="B86" s="59" t="s">
        <v>44</v>
      </c>
      <c r="C86" s="60">
        <f>C85*C81</f>
        <v>16.62389628821568</v>
      </c>
    </row>
    <row r="87" ht="12.75">
      <c r="B87" s="3"/>
    </row>
    <row r="88" spans="1:3" ht="12.75">
      <c r="A88" s="3" t="s">
        <v>52</v>
      </c>
      <c r="B88" s="2" t="s">
        <v>49</v>
      </c>
      <c r="C88" s="11">
        <v>10</v>
      </c>
    </row>
    <row r="89" spans="2:6" ht="12.75">
      <c r="B89" s="2" t="s">
        <v>50</v>
      </c>
      <c r="C89" s="11">
        <v>1.8</v>
      </c>
      <c r="F89" s="9"/>
    </row>
    <row r="90" spans="2:6" ht="12.75">
      <c r="B90" s="2" t="s">
        <v>258</v>
      </c>
      <c r="C90" s="8">
        <v>95</v>
      </c>
      <c r="D90" s="4"/>
      <c r="E90" s="11"/>
      <c r="F90" s="4"/>
    </row>
    <row r="91" spans="2:3" ht="12.75">
      <c r="B91" s="3" t="s">
        <v>45</v>
      </c>
      <c r="C91" s="11">
        <f>C89/SQRT(C78)</f>
        <v>0.7348469228349536</v>
      </c>
    </row>
    <row r="92" spans="2:9" ht="13.5" thickBot="1">
      <c r="B92" s="2" t="s">
        <v>48</v>
      </c>
      <c r="C92" s="11">
        <f>-NORMSINV((100-C90)/200)</f>
        <v>1.9599639845400545</v>
      </c>
      <c r="F92" s="9"/>
      <c r="G92" s="9"/>
      <c r="H92" s="9"/>
      <c r="I92" s="9"/>
    </row>
    <row r="93" spans="1:9" ht="13.5" thickBot="1">
      <c r="A93" s="9"/>
      <c r="B93" s="53" t="s">
        <v>312</v>
      </c>
      <c r="C93" s="60">
        <f>C91*C92</f>
        <v>1.4402735029065936</v>
      </c>
      <c r="D93" s="4"/>
      <c r="E93" s="11"/>
      <c r="F93" s="9"/>
      <c r="G93" s="9"/>
      <c r="H93" s="9"/>
      <c r="I93" s="9"/>
    </row>
    <row r="94" spans="1:9" ht="12.75">
      <c r="A94" s="9"/>
      <c r="B94" s="4"/>
      <c r="D94" s="4"/>
      <c r="E94" s="11"/>
      <c r="F94" s="9"/>
      <c r="G94" s="9"/>
      <c r="H94" s="9"/>
      <c r="I94" s="9"/>
    </row>
    <row r="95" spans="1:9" ht="12.75">
      <c r="A95" s="9"/>
      <c r="B95" s="9"/>
      <c r="C95" s="9"/>
      <c r="F95" s="9"/>
      <c r="G95" s="9"/>
      <c r="H95" s="9"/>
      <c r="I95" s="9"/>
    </row>
    <row r="96" spans="1:9" ht="12.75">
      <c r="A96" s="9"/>
      <c r="B96" s="4"/>
      <c r="C96" s="4"/>
      <c r="D96" s="4"/>
      <c r="E96" s="11"/>
      <c r="F96" s="9"/>
      <c r="G96" s="9"/>
      <c r="H96" s="9"/>
      <c r="I96" s="9"/>
    </row>
    <row r="97" spans="1:9" ht="12.75">
      <c r="A97" s="9"/>
      <c r="B97" s="4"/>
      <c r="C97" s="4"/>
      <c r="D97" s="4"/>
      <c r="E97" s="11"/>
      <c r="F97" s="9"/>
      <c r="G97" s="9"/>
      <c r="H97" s="9"/>
      <c r="I97" s="9"/>
    </row>
    <row r="98" spans="1:9" ht="12.75">
      <c r="A98" s="9"/>
      <c r="B98" s="9"/>
      <c r="C98" s="9"/>
      <c r="F98" s="9"/>
      <c r="G98" s="9"/>
      <c r="H98" s="9"/>
      <c r="I98" s="9"/>
    </row>
    <row r="99" spans="1:9" ht="12.75">
      <c r="A99" s="9"/>
      <c r="B99" s="4"/>
      <c r="C99" s="4"/>
      <c r="D99" s="4"/>
      <c r="E99" s="11"/>
      <c r="F99" s="9"/>
      <c r="G99" s="9"/>
      <c r="H99" s="9"/>
      <c r="I99" s="9"/>
    </row>
    <row r="100" spans="1:9" ht="12.75">
      <c r="A100" s="9"/>
      <c r="B100" s="4"/>
      <c r="C100" s="4"/>
      <c r="D100" s="4"/>
      <c r="E100" s="11"/>
      <c r="F100" s="9"/>
      <c r="G100" s="9"/>
      <c r="H100" s="9"/>
      <c r="I100" s="9"/>
    </row>
    <row r="101" spans="1:9" ht="12.75">
      <c r="A101" s="9"/>
      <c r="B101" s="4"/>
      <c r="C101" s="4"/>
      <c r="D101" s="4"/>
      <c r="E101" s="11"/>
      <c r="F101" s="9"/>
      <c r="G101" s="9"/>
      <c r="H101" s="9"/>
      <c r="I101" s="9"/>
    </row>
    <row r="102" spans="1:9" ht="12.75">
      <c r="A102" s="7"/>
      <c r="B102" s="3"/>
      <c r="C102" s="4"/>
      <c r="D102" s="4"/>
      <c r="E102" s="11"/>
      <c r="F102" s="9"/>
      <c r="G102" s="9"/>
      <c r="H102" s="9"/>
      <c r="I102" s="9"/>
    </row>
    <row r="103" spans="2:9" ht="12.75">
      <c r="B103" s="3"/>
      <c r="C103" s="4"/>
      <c r="D103" s="4"/>
      <c r="E103" s="11"/>
      <c r="F103" s="9"/>
      <c r="G103" s="9"/>
      <c r="H103" s="9"/>
      <c r="I103" s="9"/>
    </row>
    <row r="104" spans="2:9" ht="12.75">
      <c r="B104" s="3"/>
      <c r="C104" s="4"/>
      <c r="D104" s="4"/>
      <c r="E104" s="11"/>
      <c r="F104" s="9"/>
      <c r="G104" s="9"/>
      <c r="H104" s="9"/>
      <c r="I104" s="9"/>
    </row>
    <row r="105" spans="2:9" ht="12.75">
      <c r="B105" s="3"/>
      <c r="C105" s="9"/>
      <c r="F105" s="9"/>
      <c r="G105" s="9"/>
      <c r="H105" s="9"/>
      <c r="I105" s="9"/>
    </row>
    <row r="106" spans="3:9" ht="12.75">
      <c r="C106" s="8"/>
      <c r="F106" s="9"/>
      <c r="G106" s="9"/>
      <c r="H106" s="9"/>
      <c r="I106" s="9"/>
    </row>
    <row r="107" spans="3:9" ht="12.75">
      <c r="C107" s="8"/>
      <c r="F107" s="9"/>
      <c r="G107" s="9"/>
      <c r="H107" s="9"/>
      <c r="I107" s="9"/>
    </row>
    <row r="108" spans="3:9" ht="12.75">
      <c r="C108" s="8"/>
      <c r="F108" s="9"/>
      <c r="G108" s="9"/>
      <c r="H108" s="9"/>
      <c r="I108" s="9"/>
    </row>
    <row r="109" spans="3:9" ht="12.75">
      <c r="C109" s="8"/>
      <c r="F109" s="9"/>
      <c r="G109" s="9"/>
      <c r="H109" s="9"/>
      <c r="I109" s="9"/>
    </row>
    <row r="110" spans="2:9" ht="12.75">
      <c r="B110" s="3"/>
      <c r="C110" s="8"/>
      <c r="F110" s="9"/>
      <c r="G110" s="9"/>
      <c r="H110" s="9"/>
      <c r="I110" s="9"/>
    </row>
    <row r="111" spans="2:9" ht="12.75">
      <c r="B111" s="3"/>
      <c r="C111" s="8"/>
      <c r="D111" s="4"/>
      <c r="F111" s="9"/>
      <c r="G111" s="9"/>
      <c r="H111" s="9"/>
      <c r="I111" s="9"/>
    </row>
    <row r="112" spans="2:9" ht="12.75">
      <c r="B112" s="3"/>
      <c r="C112" s="8"/>
      <c r="F112" s="9"/>
      <c r="G112" s="9"/>
      <c r="H112" s="9"/>
      <c r="I112" s="9"/>
    </row>
    <row r="113" spans="2:9" ht="12.75">
      <c r="B113" s="3"/>
      <c r="C113" s="8"/>
      <c r="F113" s="9"/>
      <c r="G113" s="9"/>
      <c r="H113" s="9"/>
      <c r="I113" s="9"/>
    </row>
    <row r="114" spans="2:9" ht="12.75">
      <c r="B114" s="3"/>
      <c r="C114" s="8"/>
      <c r="F114" s="9"/>
      <c r="G114" s="9"/>
      <c r="H114" s="9"/>
      <c r="I114" s="9"/>
    </row>
    <row r="115" spans="2:9" ht="12.75">
      <c r="B115" s="3"/>
      <c r="C115" s="8"/>
      <c r="F115" s="9"/>
      <c r="G115" s="9"/>
      <c r="H115" s="9"/>
      <c r="I115" s="9"/>
    </row>
    <row r="116" spans="2:9" ht="12.75">
      <c r="B116" s="3"/>
      <c r="C116" s="8"/>
      <c r="F116" s="9"/>
      <c r="G116" s="9"/>
      <c r="H116" s="9"/>
      <c r="I116" s="9"/>
    </row>
    <row r="117" spans="2:9" ht="12.75">
      <c r="B117" s="9"/>
      <c r="C117" s="9"/>
      <c r="F117" s="9"/>
      <c r="G117" s="9"/>
      <c r="H117" s="9"/>
      <c r="I117" s="9"/>
    </row>
    <row r="118" spans="2:9" ht="12.75">
      <c r="B118" s="3"/>
      <c r="C118" s="8"/>
      <c r="F118" s="9"/>
      <c r="G118" s="9"/>
      <c r="H118" s="9"/>
      <c r="I118" s="9"/>
    </row>
    <row r="119" spans="2:9" ht="12.75">
      <c r="B119" s="3"/>
      <c r="C119" s="9"/>
      <c r="F119" s="9"/>
      <c r="G119" s="9"/>
      <c r="H119" s="9"/>
      <c r="I119" s="9"/>
    </row>
    <row r="120" spans="2:9" ht="12.75">
      <c r="B120" s="3"/>
      <c r="C120" s="9"/>
      <c r="F120" s="9"/>
      <c r="G120" s="9"/>
      <c r="H120" s="9"/>
      <c r="I120" s="9"/>
    </row>
    <row r="121" spans="2:9" ht="12.75">
      <c r="B121" s="9"/>
      <c r="C121" s="9"/>
      <c r="F121" s="9"/>
      <c r="G121" s="9"/>
      <c r="H121" s="9"/>
      <c r="I121" s="9"/>
    </row>
    <row r="122" spans="2:9" ht="12.75">
      <c r="B122" s="9"/>
      <c r="C122" s="9"/>
      <c r="F122" s="9"/>
      <c r="G122" s="9"/>
      <c r="H122" s="9"/>
      <c r="I122" s="9"/>
    </row>
    <row r="123" spans="2:9" ht="12.75">
      <c r="B123" s="9"/>
      <c r="C123" s="9"/>
      <c r="F123" s="9"/>
      <c r="G123" s="9"/>
      <c r="H123" s="9"/>
      <c r="I123" s="9"/>
    </row>
    <row r="124" spans="2:9" ht="12.75">
      <c r="B124" s="9"/>
      <c r="C124" s="9"/>
      <c r="F124" s="9"/>
      <c r="G124" s="9"/>
      <c r="H124" s="9"/>
      <c r="I124" s="9"/>
    </row>
    <row r="125" spans="2:9" ht="12.75">
      <c r="B125" s="9"/>
      <c r="C125" s="9"/>
      <c r="F125" s="9"/>
      <c r="G125" s="9"/>
      <c r="H125" s="9"/>
      <c r="I125" s="9"/>
    </row>
    <row r="126" spans="2:9" ht="12.75">
      <c r="B126" s="9"/>
      <c r="C126" s="9"/>
      <c r="F126" s="9"/>
      <c r="G126" s="9"/>
      <c r="H126" s="9"/>
      <c r="I126" s="9"/>
    </row>
    <row r="127" spans="2:9" ht="12.75">
      <c r="B127" s="9"/>
      <c r="C127" s="9"/>
      <c r="F127" s="9"/>
      <c r="G127" s="9"/>
      <c r="H127" s="9"/>
      <c r="I127" s="9"/>
    </row>
    <row r="128" spans="2:9" ht="12.75">
      <c r="B128" s="9"/>
      <c r="C128" s="9"/>
      <c r="F128" s="9"/>
      <c r="G128" s="9"/>
      <c r="H128" s="9"/>
      <c r="I128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="125" zoomScaleNormal="125" workbookViewId="0" topLeftCell="A24">
      <selection activeCell="D62" sqref="D62"/>
    </sheetView>
  </sheetViews>
  <sheetFormatPr defaultColWidth="11.00390625" defaultRowHeight="12.75"/>
  <cols>
    <col min="1" max="1" width="4.375" style="79" customWidth="1"/>
    <col min="2" max="2" width="23.125" style="79" customWidth="1"/>
    <col min="3" max="3" width="12.625" style="79" bestFit="1" customWidth="1"/>
    <col min="4" max="4" width="10.75390625" style="82" customWidth="1"/>
    <col min="5" max="5" width="10.75390625" style="80" customWidth="1"/>
    <col min="6" max="6" width="10.75390625" style="79" customWidth="1"/>
    <col min="7" max="7" width="5.625" style="79" customWidth="1"/>
    <col min="8" max="8" width="10.75390625" style="79" customWidth="1"/>
    <col min="9" max="9" width="12.875" style="79" customWidth="1"/>
    <col min="10" max="16384" width="10.75390625" style="79" customWidth="1"/>
  </cols>
  <sheetData>
    <row r="1" spans="1:7" ht="13.5">
      <c r="A1" s="78" t="s">
        <v>302</v>
      </c>
      <c r="B1" s="61"/>
      <c r="C1" s="62" t="s">
        <v>29</v>
      </c>
      <c r="D1" s="62" t="s">
        <v>30</v>
      </c>
      <c r="E1" s="62" t="s">
        <v>313</v>
      </c>
      <c r="F1" s="62" t="s">
        <v>314</v>
      </c>
      <c r="G1" s="61"/>
    </row>
    <row r="2" spans="1:8" ht="13.5">
      <c r="A2" s="78"/>
      <c r="B2" s="61"/>
      <c r="C2" s="63">
        <v>4</v>
      </c>
      <c r="D2" s="63">
        <v>3</v>
      </c>
      <c r="E2" s="63">
        <v>6</v>
      </c>
      <c r="F2" s="63">
        <v>7</v>
      </c>
      <c r="G2" s="61"/>
      <c r="H2" s="61"/>
    </row>
    <row r="3" spans="2:8" ht="13.5">
      <c r="B3" s="61"/>
      <c r="C3" s="63">
        <v>3</v>
      </c>
      <c r="D3" s="63">
        <v>3</v>
      </c>
      <c r="E3" s="63"/>
      <c r="F3" s="63">
        <v>3</v>
      </c>
      <c r="G3" s="61"/>
      <c r="H3" s="61"/>
    </row>
    <row r="4" spans="2:8" ht="13.5">
      <c r="B4" s="61"/>
      <c r="C4" s="63">
        <v>5</v>
      </c>
      <c r="D4" s="63">
        <v>3</v>
      </c>
      <c r="E4" s="63"/>
      <c r="F4" s="63">
        <v>5</v>
      </c>
      <c r="G4" s="61"/>
      <c r="H4" s="61"/>
    </row>
    <row r="5" spans="2:8" ht="15" thickBot="1">
      <c r="B5" s="61"/>
      <c r="C5" s="64"/>
      <c r="D5" s="64">
        <v>3</v>
      </c>
      <c r="E5" s="64"/>
      <c r="F5" s="64">
        <v>9</v>
      </c>
      <c r="G5" s="61"/>
      <c r="H5" s="61"/>
    </row>
    <row r="6" spans="2:8" ht="13.5">
      <c r="B6" s="61"/>
      <c r="C6" s="61"/>
      <c r="D6" s="61"/>
      <c r="E6" s="61"/>
      <c r="F6" s="61"/>
      <c r="G6" s="61"/>
      <c r="H6" s="65" t="s">
        <v>316</v>
      </c>
    </row>
    <row r="7" spans="1:8" ht="15.75">
      <c r="A7" s="79" t="s">
        <v>317</v>
      </c>
      <c r="B7" s="61" t="s">
        <v>145</v>
      </c>
      <c r="C7" s="63">
        <f>COUNT(C2:C5)</f>
        <v>3</v>
      </c>
      <c r="D7" s="63">
        <v>4</v>
      </c>
      <c r="E7" s="63">
        <v>1</v>
      </c>
      <c r="F7" s="63">
        <v>4</v>
      </c>
      <c r="G7" s="61"/>
      <c r="H7" s="66">
        <f>SUM(C7:F7)</f>
        <v>12</v>
      </c>
    </row>
    <row r="8" spans="2:8" ht="15.75">
      <c r="B8" s="61" t="s">
        <v>146</v>
      </c>
      <c r="C8" s="67">
        <f>SUM(C2:C5)</f>
        <v>12</v>
      </c>
      <c r="D8" s="67">
        <f>SUM(D2:D5)</f>
        <v>12</v>
      </c>
      <c r="E8" s="67">
        <f>SUM(E2:E5)</f>
        <v>6</v>
      </c>
      <c r="F8" s="67">
        <f>SUM(F2:F5)</f>
        <v>24</v>
      </c>
      <c r="G8" s="68"/>
      <c r="H8" s="68">
        <f aca="true" t="shared" si="0" ref="H8:H15">SUM(C8:F8)</f>
        <v>54</v>
      </c>
    </row>
    <row r="9" spans="2:8" ht="15.75">
      <c r="B9" s="61" t="s">
        <v>147</v>
      </c>
      <c r="C9" s="67">
        <f>C8^2/C7</f>
        <v>48</v>
      </c>
      <c r="D9" s="67">
        <f>D8^2/D7</f>
        <v>36</v>
      </c>
      <c r="E9" s="67">
        <f>E8^2/E7</f>
        <v>36</v>
      </c>
      <c r="F9" s="67">
        <f>F8^2/F7</f>
        <v>144</v>
      </c>
      <c r="G9" s="68"/>
      <c r="H9" s="68">
        <f t="shared" si="0"/>
        <v>264</v>
      </c>
    </row>
    <row r="10" spans="2:8" ht="15.75">
      <c r="B10" s="61" t="s">
        <v>148</v>
      </c>
      <c r="C10" s="67">
        <f>AVERAGE(C2:C5)</f>
        <v>4</v>
      </c>
      <c r="D10" s="67">
        <f>AVERAGE(D2:D5)</f>
        <v>3</v>
      </c>
      <c r="E10" s="67">
        <f>AVERAGE(E2:E5)</f>
        <v>6</v>
      </c>
      <c r="F10" s="67">
        <f>AVERAGE(F2:F5)</f>
        <v>6</v>
      </c>
      <c r="G10" s="68"/>
      <c r="H10" s="68"/>
    </row>
    <row r="11" spans="2:8" ht="15.75">
      <c r="B11" s="61" t="s">
        <v>149</v>
      </c>
      <c r="C11" s="67">
        <f>SUMSQ(C2:C5)-C8^2/C7</f>
        <v>2</v>
      </c>
      <c r="D11" s="67">
        <f>SUMSQ(D2:D5)-D8^2/D7</f>
        <v>0</v>
      </c>
      <c r="E11" s="67">
        <f>SUMSQ(E2:E5)-E8^2/E7</f>
        <v>0</v>
      </c>
      <c r="F11" s="67">
        <f>SUMSQ(F2:F5)-F8^2/F7</f>
        <v>20</v>
      </c>
      <c r="G11" s="68"/>
      <c r="H11" s="68">
        <f t="shared" si="0"/>
        <v>22</v>
      </c>
    </row>
    <row r="12" spans="2:8" ht="15.75">
      <c r="B12" s="61" t="s">
        <v>150</v>
      </c>
      <c r="C12" s="63">
        <f>C7-1</f>
        <v>2</v>
      </c>
      <c r="D12" s="63">
        <f>D7-1</f>
        <v>3</v>
      </c>
      <c r="E12" s="63">
        <f>E7-1</f>
        <v>0</v>
      </c>
      <c r="F12" s="63">
        <f>F7-1</f>
        <v>3</v>
      </c>
      <c r="G12" s="61"/>
      <c r="H12" s="66">
        <f t="shared" si="0"/>
        <v>8</v>
      </c>
    </row>
    <row r="13" spans="2:8" ht="15.75">
      <c r="B13" s="61" t="s">
        <v>156</v>
      </c>
      <c r="C13" s="69">
        <f>C11/C12</f>
        <v>1</v>
      </c>
      <c r="D13" s="69">
        <f>D11/D12</f>
        <v>0</v>
      </c>
      <c r="E13" s="69" t="s">
        <v>315</v>
      </c>
      <c r="F13" s="69">
        <f>F11/F12</f>
        <v>6.666666666666667</v>
      </c>
      <c r="G13" s="61"/>
      <c r="H13" s="61"/>
    </row>
    <row r="14" spans="2:8" ht="15" thickBot="1">
      <c r="B14" s="61"/>
      <c r="C14" s="69"/>
      <c r="D14" s="69"/>
      <c r="E14" s="69"/>
      <c r="F14" s="69"/>
      <c r="G14" s="61"/>
      <c r="H14" s="61"/>
    </row>
    <row r="15" spans="1:8" ht="16.5" thickBot="1">
      <c r="A15" s="79" t="s">
        <v>318</v>
      </c>
      <c r="B15" s="124" t="s">
        <v>151</v>
      </c>
      <c r="C15" s="125">
        <f>C12/$H$12</f>
        <v>0.25</v>
      </c>
      <c r="D15" s="125">
        <f>D12/$H$12</f>
        <v>0.375</v>
      </c>
      <c r="E15" s="125">
        <f>E12/$H$12</f>
        <v>0</v>
      </c>
      <c r="F15" s="126">
        <f>F12/$H$12</f>
        <v>0.375</v>
      </c>
      <c r="G15" s="61"/>
      <c r="H15" s="61">
        <f t="shared" si="0"/>
        <v>1</v>
      </c>
    </row>
    <row r="16" spans="2:3" ht="15" thickBot="1">
      <c r="B16" s="80"/>
      <c r="C16" s="81"/>
    </row>
    <row r="17" spans="1:9" ht="13.5">
      <c r="A17" s="79" t="s">
        <v>319</v>
      </c>
      <c r="B17" s="83" t="s">
        <v>320</v>
      </c>
      <c r="C17" s="84">
        <f>C15*C13</f>
        <v>0.25</v>
      </c>
      <c r="D17" s="84">
        <f>D15*D13</f>
        <v>0</v>
      </c>
      <c r="E17" s="84">
        <v>0</v>
      </c>
      <c r="F17" s="84">
        <f>F15*F13</f>
        <v>2.5</v>
      </c>
      <c r="H17" s="127">
        <f>SUM(C17:F17)</f>
        <v>2.75</v>
      </c>
      <c r="I17" s="128" t="s">
        <v>220</v>
      </c>
    </row>
    <row r="18" spans="4:9" ht="15" thickBot="1">
      <c r="D18" s="84"/>
      <c r="H18" s="110">
        <f>H12</f>
        <v>8</v>
      </c>
      <c r="I18" s="111" t="s">
        <v>82</v>
      </c>
    </row>
    <row r="19" spans="1:3" ht="13.5">
      <c r="A19" s="79" t="s">
        <v>321</v>
      </c>
      <c r="B19" s="83" t="s">
        <v>323</v>
      </c>
      <c r="C19" s="86">
        <f>SUMSQ(C2:F5)-H9</f>
        <v>22</v>
      </c>
    </row>
    <row r="20" spans="2:3" ht="15" thickBot="1">
      <c r="B20" s="79" t="s">
        <v>60</v>
      </c>
      <c r="C20" s="80">
        <f>H12</f>
        <v>8</v>
      </c>
    </row>
    <row r="21" spans="2:3" ht="15" thickBot="1">
      <c r="B21" s="85" t="s">
        <v>322</v>
      </c>
      <c r="C21" s="87">
        <f>C19/C20</f>
        <v>2.75</v>
      </c>
    </row>
    <row r="22" spans="1:3" ht="13.5">
      <c r="A22" s="80"/>
      <c r="C22" s="80"/>
    </row>
    <row r="23" spans="1:4" ht="13.5">
      <c r="A23" s="79" t="s">
        <v>61</v>
      </c>
      <c r="C23" s="129" t="s">
        <v>297</v>
      </c>
      <c r="D23" s="129" t="s">
        <v>62</v>
      </c>
    </row>
    <row r="24" spans="1:4" ht="13.5">
      <c r="A24" s="88"/>
      <c r="B24" s="81" t="s">
        <v>286</v>
      </c>
      <c r="C24" s="86">
        <f>SQRT($C$21/D7)</f>
        <v>0.82915619758885</v>
      </c>
      <c r="D24" s="86">
        <f>SQRT($C$21/E7)</f>
        <v>1.6583123951777</v>
      </c>
    </row>
    <row r="25" spans="2:4" ht="13.5">
      <c r="B25" s="79" t="s">
        <v>294</v>
      </c>
      <c r="C25" s="80">
        <f>H12</f>
        <v>8</v>
      </c>
      <c r="D25" s="80">
        <f>H12</f>
        <v>8</v>
      </c>
    </row>
    <row r="26" spans="2:4" ht="15" thickBot="1">
      <c r="B26" s="79" t="s">
        <v>41</v>
      </c>
      <c r="C26" s="86">
        <f>TINV(0.2,$H$12)</f>
        <v>1.3968153099515943</v>
      </c>
      <c r="D26" s="86">
        <f>TINV(0.2,$H$12)</f>
        <v>1.3968153099515943</v>
      </c>
    </row>
    <row r="27" spans="1:4" ht="15" thickBot="1">
      <c r="A27" s="88"/>
      <c r="B27" s="89" t="s">
        <v>285</v>
      </c>
      <c r="C27" s="90">
        <f>C26*C24</f>
        <v>1.158178071133355</v>
      </c>
      <c r="D27" s="91">
        <f>D26*D24</f>
        <v>2.31635614226671</v>
      </c>
    </row>
    <row r="28" spans="1:4" ht="15" thickBot="1">
      <c r="A28" s="88"/>
      <c r="B28" s="61"/>
      <c r="C28" s="92"/>
      <c r="D28" s="93"/>
    </row>
    <row r="29" spans="1:5" ht="13.5">
      <c r="A29" s="79" t="s">
        <v>287</v>
      </c>
      <c r="B29" s="71" t="s">
        <v>143</v>
      </c>
      <c r="C29" s="94">
        <f>H9-H8^2/H7</f>
        <v>21</v>
      </c>
      <c r="D29" s="95"/>
      <c r="E29" s="86"/>
    </row>
    <row r="30" spans="1:4" ht="13.5">
      <c r="A30" s="88"/>
      <c r="B30" s="72" t="s">
        <v>144</v>
      </c>
      <c r="C30" s="96">
        <v>3</v>
      </c>
      <c r="D30" s="95"/>
    </row>
    <row r="31" spans="1:4" ht="15" thickBot="1">
      <c r="A31" s="88"/>
      <c r="B31" s="73" t="s">
        <v>142</v>
      </c>
      <c r="C31" s="97">
        <f>C29/C30</f>
        <v>7</v>
      </c>
      <c r="D31" s="95"/>
    </row>
    <row r="32" spans="1:4" ht="15" thickBot="1">
      <c r="A32" s="88"/>
      <c r="B32" s="70"/>
      <c r="C32" s="98"/>
      <c r="D32" s="95"/>
    </row>
    <row r="33" spans="1:4" ht="13.5">
      <c r="A33" s="79" t="s">
        <v>152</v>
      </c>
      <c r="B33" s="74" t="s">
        <v>153</v>
      </c>
      <c r="C33" s="99">
        <f>C31/C21</f>
        <v>2.5454545454545454</v>
      </c>
      <c r="D33" s="95"/>
    </row>
    <row r="34" spans="1:4" ht="13.5">
      <c r="A34" s="88"/>
      <c r="B34" s="75" t="s">
        <v>154</v>
      </c>
      <c r="C34" s="100">
        <f>FINV(0.05,C30,H12)</f>
        <v>4.0661805566468345</v>
      </c>
      <c r="D34" s="95"/>
    </row>
    <row r="35" spans="1:4" ht="15" thickBot="1">
      <c r="A35" s="88"/>
      <c r="B35" s="76" t="s">
        <v>311</v>
      </c>
      <c r="C35" s="97"/>
      <c r="D35" s="95"/>
    </row>
    <row r="36" spans="1:4" ht="15" thickBot="1">
      <c r="A36" s="88"/>
      <c r="B36" s="101"/>
      <c r="C36" s="98"/>
      <c r="D36" s="95"/>
    </row>
    <row r="37" spans="1:4" ht="13.5">
      <c r="A37" s="79" t="s">
        <v>155</v>
      </c>
      <c r="B37" s="102" t="s">
        <v>157</v>
      </c>
      <c r="C37" s="94">
        <f>C13</f>
        <v>1</v>
      </c>
      <c r="D37" s="95"/>
    </row>
    <row r="38" spans="1:4" ht="13.5">
      <c r="A38" s="88"/>
      <c r="B38" s="103" t="s">
        <v>158</v>
      </c>
      <c r="C38" s="100">
        <f>F13</f>
        <v>6.666666666666667</v>
      </c>
      <c r="D38" s="95"/>
    </row>
    <row r="39" spans="2:4" ht="13.5">
      <c r="B39" s="75" t="s">
        <v>159</v>
      </c>
      <c r="C39" s="104">
        <f>C38/C37</f>
        <v>6.666666666666667</v>
      </c>
      <c r="D39" s="105"/>
    </row>
    <row r="40" spans="2:4" ht="13.5">
      <c r="B40" s="75" t="s">
        <v>160</v>
      </c>
      <c r="C40" s="100">
        <f>FINV(0.025,F12,C12)</f>
        <v>39.16549456411232</v>
      </c>
      <c r="D40" s="105"/>
    </row>
    <row r="41" spans="2:4" ht="15" thickBot="1">
      <c r="B41" s="77" t="s">
        <v>311</v>
      </c>
      <c r="C41" s="97"/>
      <c r="D41" s="105"/>
    </row>
    <row r="42" spans="2:4" ht="13.5">
      <c r="B42" s="106"/>
      <c r="C42" s="106"/>
      <c r="D42" s="105"/>
    </row>
    <row r="43" spans="2:4" ht="13.5">
      <c r="B43" s="106"/>
      <c r="C43" s="106"/>
      <c r="D43" s="105"/>
    </row>
    <row r="44" spans="1:2" ht="15" thickBot="1">
      <c r="A44" s="78" t="s">
        <v>303</v>
      </c>
      <c r="B44" s="107"/>
    </row>
    <row r="45" spans="1:3" ht="13.5">
      <c r="A45" s="79" t="s">
        <v>317</v>
      </c>
      <c r="B45" s="108" t="s">
        <v>161</v>
      </c>
      <c r="C45" s="109">
        <v>2</v>
      </c>
    </row>
    <row r="46" spans="2:3" ht="15" thickBot="1">
      <c r="B46" s="110" t="s">
        <v>60</v>
      </c>
      <c r="C46" s="111">
        <v>33</v>
      </c>
    </row>
    <row r="47" ht="15" thickBot="1"/>
    <row r="48" spans="1:6" ht="13.5">
      <c r="A48" s="79" t="s">
        <v>318</v>
      </c>
      <c r="B48" s="114" t="s">
        <v>219</v>
      </c>
      <c r="C48" s="115"/>
      <c r="D48" s="116"/>
      <c r="E48" s="117"/>
      <c r="F48" s="118"/>
    </row>
    <row r="49" spans="2:6" ht="15" thickBot="1">
      <c r="B49" s="119" t="s">
        <v>162</v>
      </c>
      <c r="C49" s="120"/>
      <c r="D49" s="121"/>
      <c r="E49" s="122"/>
      <c r="F49" s="123"/>
    </row>
    <row r="50" ht="15" thickBot="1"/>
    <row r="51" spans="1:3" ht="15" thickBot="1">
      <c r="A51" s="79" t="s">
        <v>319</v>
      </c>
      <c r="B51" s="112" t="s">
        <v>163</v>
      </c>
      <c r="C51" s="87">
        <f>10/12</f>
        <v>0.8333333333333334</v>
      </c>
    </row>
    <row r="52" ht="15" thickBot="1"/>
    <row r="53" spans="1:3" ht="15" thickBot="1">
      <c r="A53" s="79" t="s">
        <v>321</v>
      </c>
      <c r="B53" s="85" t="s">
        <v>164</v>
      </c>
      <c r="C53" s="113">
        <v>35</v>
      </c>
    </row>
    <row r="54" spans="2:4" ht="15" thickBot="1">
      <c r="B54" s="83"/>
      <c r="D54" s="83"/>
    </row>
    <row r="55" spans="1:3" ht="15" thickBot="1">
      <c r="A55" s="79" t="s">
        <v>61</v>
      </c>
      <c r="B55" s="85" t="s">
        <v>81</v>
      </c>
      <c r="C55" s="113">
        <f>10*C53</f>
        <v>350</v>
      </c>
    </row>
    <row r="56" spans="2:3" ht="13.5">
      <c r="B56" s="83"/>
      <c r="C56" s="80"/>
    </row>
    <row r="57" spans="1:2" ht="13.5">
      <c r="A57" s="79" t="s">
        <v>287</v>
      </c>
      <c r="B57" s="80" t="s">
        <v>218</v>
      </c>
    </row>
    <row r="58" spans="1:3" ht="13.5">
      <c r="A58" s="88"/>
      <c r="B58" s="79" t="s">
        <v>322</v>
      </c>
      <c r="C58" s="80">
        <f>AVERAGE(9,9,15)</f>
        <v>11</v>
      </c>
    </row>
    <row r="59" spans="2:3" ht="13.5">
      <c r="B59" s="79" t="s">
        <v>323</v>
      </c>
      <c r="C59" s="80">
        <f>C58*C46</f>
        <v>363</v>
      </c>
    </row>
    <row r="60" spans="2:4" ht="13.5">
      <c r="B60" s="79" t="s">
        <v>143</v>
      </c>
      <c r="C60" s="80">
        <v>25</v>
      </c>
      <c r="D60" s="79"/>
    </row>
    <row r="61" spans="2:7" ht="13.5">
      <c r="B61" s="83" t="s">
        <v>208</v>
      </c>
      <c r="C61" s="80">
        <f>C59+C60</f>
        <v>388</v>
      </c>
      <c r="D61" s="83"/>
      <c r="F61" s="82"/>
      <c r="G61" s="82"/>
    </row>
    <row r="62" spans="2:7" ht="13.5">
      <c r="B62" s="83" t="s">
        <v>164</v>
      </c>
      <c r="C62" s="80">
        <v>35</v>
      </c>
      <c r="D62" s="83"/>
      <c r="E62" s="86"/>
      <c r="F62" s="84"/>
      <c r="G62" s="84"/>
    </row>
    <row r="63" spans="2:4" ht="13.5">
      <c r="B63" s="83" t="s">
        <v>209</v>
      </c>
      <c r="C63" s="86">
        <f>C61/C62</f>
        <v>11.085714285714285</v>
      </c>
      <c r="D63" s="83"/>
    </row>
    <row r="64" spans="2:4" ht="13.5">
      <c r="B64" s="83" t="s">
        <v>221</v>
      </c>
      <c r="C64" s="80">
        <v>36</v>
      </c>
      <c r="D64" s="83"/>
    </row>
    <row r="65" spans="2:4" ht="13.5">
      <c r="B65" s="83" t="s">
        <v>293</v>
      </c>
      <c r="C65" s="86">
        <f>SQRT(C63/C64)</f>
        <v>0.5549202716936082</v>
      </c>
      <c r="D65" s="83"/>
    </row>
    <row r="66" spans="1:7" ht="15" thickBot="1">
      <c r="A66" s="88"/>
      <c r="B66" s="83" t="s">
        <v>210</v>
      </c>
      <c r="C66" s="86">
        <f>TINV(0.05,C62)</f>
        <v>2.030107915448312</v>
      </c>
      <c r="D66" s="79"/>
      <c r="F66" s="82"/>
      <c r="G66" s="82"/>
    </row>
    <row r="67" spans="2:7" ht="15" thickBot="1">
      <c r="B67" s="112" t="s">
        <v>211</v>
      </c>
      <c r="C67" s="87">
        <f>C65*C66</f>
        <v>1.1265480360079219</v>
      </c>
      <c r="F67" s="82"/>
      <c r="G67" s="82"/>
    </row>
    <row r="68" spans="2:7" ht="13.5">
      <c r="B68" s="81"/>
      <c r="C68" s="92"/>
      <c r="D68" s="93"/>
      <c r="E68" s="86"/>
      <c r="F68" s="82"/>
      <c r="G68" s="82"/>
    </row>
    <row r="69" spans="2:7" ht="13.5">
      <c r="B69" s="81"/>
      <c r="C69" s="92"/>
      <c r="D69" s="93"/>
      <c r="F69" s="82"/>
      <c r="G69" s="82"/>
    </row>
    <row r="70" spans="2:7" ht="13.5">
      <c r="B70" s="81"/>
      <c r="C70" s="92"/>
      <c r="D70" s="93"/>
      <c r="F70" s="82"/>
      <c r="G70" s="82"/>
    </row>
    <row r="71" spans="2:7" ht="13.5">
      <c r="B71" s="92"/>
      <c r="C71" s="92"/>
      <c r="D71" s="93"/>
      <c r="F71" s="82"/>
      <c r="G71" s="82"/>
    </row>
    <row r="72" spans="2:7" ht="13.5">
      <c r="B72" s="81"/>
      <c r="C72" s="92"/>
      <c r="D72" s="93"/>
      <c r="F72" s="82"/>
      <c r="G72" s="82"/>
    </row>
    <row r="73" spans="2:7" ht="13.5">
      <c r="B73" s="81"/>
      <c r="C73" s="92"/>
      <c r="D73" s="93"/>
      <c r="F73" s="82"/>
      <c r="G73" s="82"/>
    </row>
    <row r="74" spans="2:7" ht="13.5">
      <c r="B74" s="81"/>
      <c r="C74" s="80"/>
      <c r="D74" s="93"/>
      <c r="F74" s="82"/>
      <c r="G74" s="82"/>
    </row>
    <row r="75" spans="2:7" ht="13.5">
      <c r="B75" s="81"/>
      <c r="C75" s="92"/>
      <c r="D75" s="93"/>
      <c r="F75" s="82"/>
      <c r="G75" s="82"/>
    </row>
    <row r="76" spans="1:4" ht="13.5">
      <c r="A76" s="88"/>
      <c r="B76" s="81"/>
      <c r="C76" s="92"/>
      <c r="D76" s="93"/>
    </row>
    <row r="77" spans="2:4" ht="13.5">
      <c r="B77" s="81"/>
      <c r="C77" s="92"/>
      <c r="D77" s="93"/>
    </row>
    <row r="80" spans="1:3" ht="13.5">
      <c r="A80" s="78"/>
      <c r="C80" s="80"/>
    </row>
    <row r="81" ht="13.5">
      <c r="C81" s="80"/>
    </row>
    <row r="82" spans="2:3" ht="13.5">
      <c r="B82" s="83"/>
      <c r="C82" s="86"/>
    </row>
    <row r="83" spans="2:3" ht="13.5">
      <c r="B83" s="83"/>
      <c r="C83" s="86"/>
    </row>
    <row r="84" spans="2:3" ht="13.5">
      <c r="B84" s="83"/>
      <c r="C84" s="80"/>
    </row>
    <row r="85" ht="13.5">
      <c r="C85" s="86"/>
    </row>
    <row r="86" spans="2:3" ht="13.5">
      <c r="B86" s="83"/>
      <c r="C86" s="86"/>
    </row>
    <row r="87" spans="2:3" ht="13.5">
      <c r="B87" s="83"/>
      <c r="C87" s="86"/>
    </row>
    <row r="88" spans="2:3" ht="13.5">
      <c r="B88" s="83"/>
      <c r="C88" s="86"/>
    </row>
    <row r="89" ht="13.5">
      <c r="C89" s="86"/>
    </row>
    <row r="90" ht="13.5">
      <c r="B90" s="83"/>
    </row>
    <row r="91" spans="1:3" ht="13.5">
      <c r="A91" s="83"/>
      <c r="C91" s="86"/>
    </row>
    <row r="92" spans="3:6" ht="13.5">
      <c r="C92" s="86"/>
      <c r="F92" s="82"/>
    </row>
    <row r="93" spans="3:6" ht="13.5">
      <c r="C93" s="80"/>
      <c r="D93" s="84"/>
      <c r="E93" s="86"/>
      <c r="F93" s="84"/>
    </row>
    <row r="94" spans="2:3" ht="13.5">
      <c r="B94" s="83"/>
      <c r="C94" s="86"/>
    </row>
    <row r="95" spans="3:9" ht="13.5">
      <c r="C95" s="86"/>
      <c r="F95" s="82"/>
      <c r="G95" s="82"/>
      <c r="H95" s="82"/>
      <c r="I95" s="82"/>
    </row>
    <row r="96" spans="1:9" ht="13.5">
      <c r="A96" s="82"/>
      <c r="B96" s="83"/>
      <c r="C96" s="86"/>
      <c r="D96" s="84"/>
      <c r="E96" s="86"/>
      <c r="F96" s="82"/>
      <c r="G96" s="82"/>
      <c r="H96" s="82"/>
      <c r="I96" s="82"/>
    </row>
    <row r="97" spans="1:9" ht="13.5">
      <c r="A97" s="82"/>
      <c r="B97" s="84"/>
      <c r="D97" s="84"/>
      <c r="E97" s="86"/>
      <c r="F97" s="82"/>
      <c r="G97" s="82"/>
      <c r="H97" s="82"/>
      <c r="I97" s="82"/>
    </row>
    <row r="98" spans="1:9" ht="13.5">
      <c r="A98" s="82"/>
      <c r="B98" s="82"/>
      <c r="C98" s="82"/>
      <c r="F98" s="82"/>
      <c r="G98" s="82"/>
      <c r="H98" s="82"/>
      <c r="I98" s="82"/>
    </row>
    <row r="99" spans="1:9" ht="13.5">
      <c r="A99" s="82"/>
      <c r="B99" s="84"/>
      <c r="C99" s="84"/>
      <c r="D99" s="84"/>
      <c r="E99" s="86"/>
      <c r="F99" s="82"/>
      <c r="G99" s="82"/>
      <c r="H99" s="82"/>
      <c r="I99" s="82"/>
    </row>
    <row r="100" spans="1:9" ht="13.5">
      <c r="A100" s="82"/>
      <c r="B100" s="84"/>
      <c r="C100" s="84"/>
      <c r="D100" s="84"/>
      <c r="E100" s="86"/>
      <c r="F100" s="82"/>
      <c r="G100" s="82"/>
      <c r="H100" s="82"/>
      <c r="I100" s="82"/>
    </row>
    <row r="101" spans="1:9" ht="13.5">
      <c r="A101" s="82"/>
      <c r="B101" s="82"/>
      <c r="C101" s="82"/>
      <c r="F101" s="82"/>
      <c r="G101" s="82"/>
      <c r="H101" s="82"/>
      <c r="I101" s="82"/>
    </row>
    <row r="102" spans="1:9" ht="13.5">
      <c r="A102" s="82"/>
      <c r="B102" s="84"/>
      <c r="C102" s="84"/>
      <c r="D102" s="84"/>
      <c r="E102" s="86"/>
      <c r="F102" s="82"/>
      <c r="G102" s="82"/>
      <c r="H102" s="82"/>
      <c r="I102" s="82"/>
    </row>
    <row r="103" spans="1:9" ht="13.5">
      <c r="A103" s="82"/>
      <c r="B103" s="84"/>
      <c r="C103" s="84"/>
      <c r="D103" s="84"/>
      <c r="E103" s="86"/>
      <c r="F103" s="82"/>
      <c r="G103" s="82"/>
      <c r="H103" s="82"/>
      <c r="I103" s="82"/>
    </row>
    <row r="104" spans="1:9" ht="13.5">
      <c r="A104" s="82"/>
      <c r="B104" s="84"/>
      <c r="C104" s="84"/>
      <c r="D104" s="84"/>
      <c r="E104" s="86"/>
      <c r="F104" s="82"/>
      <c r="G104" s="82"/>
      <c r="H104" s="82"/>
      <c r="I104" s="82"/>
    </row>
    <row r="105" spans="1:9" ht="13.5">
      <c r="A105" s="88"/>
      <c r="B105" s="83"/>
      <c r="C105" s="84"/>
      <c r="D105" s="84"/>
      <c r="E105" s="86"/>
      <c r="F105" s="82"/>
      <c r="G105" s="82"/>
      <c r="H105" s="82"/>
      <c r="I105" s="82"/>
    </row>
    <row r="106" spans="2:9" ht="13.5">
      <c r="B106" s="83"/>
      <c r="C106" s="84"/>
      <c r="D106" s="84"/>
      <c r="E106" s="86"/>
      <c r="F106" s="82"/>
      <c r="G106" s="82"/>
      <c r="H106" s="82"/>
      <c r="I106" s="82"/>
    </row>
    <row r="107" spans="2:9" ht="13.5">
      <c r="B107" s="83"/>
      <c r="C107" s="84"/>
      <c r="D107" s="84"/>
      <c r="E107" s="86"/>
      <c r="F107" s="82"/>
      <c r="G107" s="82"/>
      <c r="H107" s="82"/>
      <c r="I107" s="82"/>
    </row>
    <row r="108" spans="2:9" ht="13.5">
      <c r="B108" s="83"/>
      <c r="C108" s="82"/>
      <c r="F108" s="82"/>
      <c r="G108" s="82"/>
      <c r="H108" s="82"/>
      <c r="I108" s="82"/>
    </row>
    <row r="109" spans="3:9" ht="13.5">
      <c r="C109" s="80"/>
      <c r="F109" s="82"/>
      <c r="G109" s="82"/>
      <c r="H109" s="82"/>
      <c r="I109" s="82"/>
    </row>
    <row r="110" spans="3:9" ht="13.5">
      <c r="C110" s="80"/>
      <c r="F110" s="82"/>
      <c r="G110" s="82"/>
      <c r="H110" s="82"/>
      <c r="I110" s="82"/>
    </row>
    <row r="111" spans="3:9" ht="13.5">
      <c r="C111" s="80"/>
      <c r="F111" s="82"/>
      <c r="G111" s="82"/>
      <c r="H111" s="82"/>
      <c r="I111" s="82"/>
    </row>
    <row r="112" spans="3:9" ht="13.5">
      <c r="C112" s="80"/>
      <c r="F112" s="82"/>
      <c r="G112" s="82"/>
      <c r="H112" s="82"/>
      <c r="I112" s="82"/>
    </row>
    <row r="113" spans="2:9" ht="13.5">
      <c r="B113" s="83"/>
      <c r="C113" s="80"/>
      <c r="F113" s="82"/>
      <c r="G113" s="82"/>
      <c r="H113" s="82"/>
      <c r="I113" s="82"/>
    </row>
    <row r="114" spans="2:9" ht="13.5">
      <c r="B114" s="83"/>
      <c r="C114" s="80"/>
      <c r="D114" s="84"/>
      <c r="F114" s="82"/>
      <c r="G114" s="82"/>
      <c r="H114" s="82"/>
      <c r="I114" s="82"/>
    </row>
    <row r="115" spans="2:9" ht="13.5">
      <c r="B115" s="83"/>
      <c r="C115" s="80"/>
      <c r="F115" s="82"/>
      <c r="G115" s="82"/>
      <c r="H115" s="82"/>
      <c r="I115" s="82"/>
    </row>
    <row r="116" spans="2:9" ht="13.5">
      <c r="B116" s="83"/>
      <c r="C116" s="80"/>
      <c r="F116" s="82"/>
      <c r="G116" s="82"/>
      <c r="H116" s="82"/>
      <c r="I116" s="82"/>
    </row>
    <row r="117" spans="2:9" ht="13.5">
      <c r="B117" s="83"/>
      <c r="C117" s="80"/>
      <c r="F117" s="82"/>
      <c r="G117" s="82"/>
      <c r="H117" s="82"/>
      <c r="I117" s="82"/>
    </row>
    <row r="118" spans="2:9" ht="13.5">
      <c r="B118" s="83"/>
      <c r="C118" s="80"/>
      <c r="F118" s="82"/>
      <c r="G118" s="82"/>
      <c r="H118" s="82"/>
      <c r="I118" s="82"/>
    </row>
    <row r="119" spans="2:9" ht="13.5">
      <c r="B119" s="83"/>
      <c r="C119" s="80"/>
      <c r="F119" s="82"/>
      <c r="G119" s="82"/>
      <c r="H119" s="82"/>
      <c r="I119" s="82"/>
    </row>
    <row r="120" spans="2:9" ht="13.5">
      <c r="B120" s="82"/>
      <c r="C120" s="82"/>
      <c r="F120" s="82"/>
      <c r="G120" s="82"/>
      <c r="H120" s="82"/>
      <c r="I120" s="82"/>
    </row>
    <row r="121" spans="2:9" ht="13.5">
      <c r="B121" s="83"/>
      <c r="C121" s="80"/>
      <c r="F121" s="82"/>
      <c r="G121" s="82"/>
      <c r="H121" s="82"/>
      <c r="I121" s="82"/>
    </row>
    <row r="122" spans="2:9" ht="13.5">
      <c r="B122" s="83"/>
      <c r="C122" s="82"/>
      <c r="F122" s="82"/>
      <c r="G122" s="82"/>
      <c r="H122" s="82"/>
      <c r="I122" s="82"/>
    </row>
    <row r="123" spans="2:9" ht="13.5">
      <c r="B123" s="83"/>
      <c r="C123" s="82"/>
      <c r="F123" s="82"/>
      <c r="G123" s="82"/>
      <c r="H123" s="82"/>
      <c r="I123" s="82"/>
    </row>
    <row r="124" spans="2:9" ht="13.5">
      <c r="B124" s="82"/>
      <c r="C124" s="82"/>
      <c r="F124" s="82"/>
      <c r="G124" s="82"/>
      <c r="H124" s="82"/>
      <c r="I124" s="82"/>
    </row>
    <row r="125" spans="2:9" ht="13.5">
      <c r="B125" s="82"/>
      <c r="C125" s="82"/>
      <c r="F125" s="82"/>
      <c r="G125" s="82"/>
      <c r="H125" s="82"/>
      <c r="I125" s="82"/>
    </row>
    <row r="126" spans="2:9" ht="13.5">
      <c r="B126" s="82"/>
      <c r="C126" s="82"/>
      <c r="F126" s="82"/>
      <c r="G126" s="82"/>
      <c r="H126" s="82"/>
      <c r="I126" s="82"/>
    </row>
    <row r="127" spans="2:9" ht="13.5">
      <c r="B127" s="82"/>
      <c r="C127" s="82"/>
      <c r="F127" s="82"/>
      <c r="G127" s="82"/>
      <c r="H127" s="82"/>
      <c r="I127" s="82"/>
    </row>
    <row r="128" spans="2:9" ht="13.5">
      <c r="B128" s="82"/>
      <c r="C128" s="82"/>
      <c r="F128" s="82"/>
      <c r="G128" s="82"/>
      <c r="H128" s="82"/>
      <c r="I128" s="82"/>
    </row>
    <row r="129" spans="2:9" ht="13.5">
      <c r="B129" s="82"/>
      <c r="C129" s="82"/>
      <c r="F129" s="82"/>
      <c r="G129" s="82"/>
      <c r="H129" s="82"/>
      <c r="I129" s="82"/>
    </row>
    <row r="130" spans="2:9" ht="13.5">
      <c r="B130" s="82"/>
      <c r="C130" s="82"/>
      <c r="F130" s="82"/>
      <c r="G130" s="82"/>
      <c r="H130" s="82"/>
      <c r="I130" s="82"/>
    </row>
    <row r="131" spans="2:9" ht="13.5">
      <c r="B131" s="82"/>
      <c r="C131" s="82"/>
      <c r="F131" s="82"/>
      <c r="G131" s="82"/>
      <c r="H131" s="82"/>
      <c r="I131" s="8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125" zoomScaleNormal="125" workbookViewId="0" topLeftCell="A45">
      <selection activeCell="G72" sqref="G72"/>
    </sheetView>
  </sheetViews>
  <sheetFormatPr defaultColWidth="11.00390625" defaultRowHeight="12.75"/>
  <cols>
    <col min="1" max="1" width="4.375" style="79" customWidth="1"/>
    <col min="2" max="2" width="15.875" style="79" customWidth="1"/>
    <col min="3" max="3" width="12.625" style="79" bestFit="1" customWidth="1"/>
    <col min="4" max="4" width="11.375" style="82" bestFit="1" customWidth="1"/>
    <col min="5" max="5" width="10.75390625" style="80" customWidth="1"/>
    <col min="6" max="6" width="10.75390625" style="79" customWidth="1"/>
    <col min="7" max="7" width="9.375" style="79" customWidth="1"/>
    <col min="8" max="8" width="10.75390625" style="79" customWidth="1"/>
    <col min="9" max="9" width="12.875" style="79" customWidth="1"/>
    <col min="10" max="16384" width="10.75390625" style="79" customWidth="1"/>
  </cols>
  <sheetData>
    <row r="1" spans="1:7" ht="13.5">
      <c r="A1" s="78" t="s">
        <v>302</v>
      </c>
      <c r="B1" s="79" t="s">
        <v>39</v>
      </c>
      <c r="C1" s="80">
        <v>25</v>
      </c>
      <c r="G1" s="61"/>
    </row>
    <row r="2" spans="7:8" ht="13.5">
      <c r="G2" s="61"/>
      <c r="H2" s="61"/>
    </row>
    <row r="3" spans="2:8" ht="15.75">
      <c r="B3" s="131" t="s">
        <v>55</v>
      </c>
      <c r="C3" s="132"/>
      <c r="D3" s="132"/>
      <c r="E3" s="132"/>
      <c r="F3" s="62"/>
      <c r="G3" s="61"/>
      <c r="H3" s="61"/>
    </row>
    <row r="4" spans="2:8" ht="13.5">
      <c r="B4" s="137"/>
      <c r="C4" s="136" t="s">
        <v>239</v>
      </c>
      <c r="D4" s="136" t="s">
        <v>240</v>
      </c>
      <c r="E4" s="136" t="s">
        <v>241</v>
      </c>
      <c r="F4" s="140" t="s">
        <v>242</v>
      </c>
      <c r="G4" s="135"/>
      <c r="H4" s="61"/>
    </row>
    <row r="5" spans="2:11" ht="13.5">
      <c r="B5" s="138" t="s">
        <v>235</v>
      </c>
      <c r="C5" s="134">
        <v>1.2</v>
      </c>
      <c r="D5" s="134">
        <v>0.9</v>
      </c>
      <c r="E5" s="134">
        <v>1.1</v>
      </c>
      <c r="F5" s="141">
        <v>1</v>
      </c>
      <c r="G5" s="144">
        <f>AVERAGE(C5:F5)</f>
        <v>1.05</v>
      </c>
      <c r="H5" s="133"/>
      <c r="I5" s="133"/>
      <c r="J5" s="133"/>
      <c r="K5" s="133"/>
    </row>
    <row r="6" spans="2:11" ht="13.5">
      <c r="B6" s="138" t="s">
        <v>236</v>
      </c>
      <c r="C6" s="134">
        <v>1.5</v>
      </c>
      <c r="D6" s="134">
        <v>1.8</v>
      </c>
      <c r="E6" s="134">
        <v>1.6</v>
      </c>
      <c r="F6" s="141">
        <v>1.6</v>
      </c>
      <c r="G6" s="144">
        <f>AVERAGE(C6:F6)</f>
        <v>1.625</v>
      </c>
      <c r="H6" s="133"/>
      <c r="I6" s="133"/>
      <c r="J6" s="133"/>
      <c r="K6" s="133"/>
    </row>
    <row r="7" spans="2:11" ht="13.5">
      <c r="B7" s="138" t="s">
        <v>237</v>
      </c>
      <c r="C7" s="134">
        <v>1.1</v>
      </c>
      <c r="D7" s="134">
        <v>1</v>
      </c>
      <c r="E7" s="134">
        <v>1.4</v>
      </c>
      <c r="F7" s="141">
        <v>0.9</v>
      </c>
      <c r="G7" s="144">
        <f>AVERAGE(C7:F7)</f>
        <v>1.1</v>
      </c>
      <c r="H7" s="133"/>
      <c r="I7" s="133"/>
      <c r="J7" s="133"/>
      <c r="K7" s="133"/>
    </row>
    <row r="8" spans="2:11" ht="13.5">
      <c r="B8" s="137" t="s">
        <v>238</v>
      </c>
      <c r="C8" s="142">
        <v>0.5</v>
      </c>
      <c r="D8" s="142">
        <v>0.4</v>
      </c>
      <c r="E8" s="142">
        <v>0.5</v>
      </c>
      <c r="F8" s="143">
        <v>0.8</v>
      </c>
      <c r="G8" s="145">
        <f>AVERAGE(C8:F8)</f>
        <v>0.55</v>
      </c>
      <c r="H8" s="133"/>
      <c r="I8" s="133"/>
      <c r="J8" s="133"/>
      <c r="K8" s="133"/>
    </row>
    <row r="9" spans="2:8" ht="13.5">
      <c r="B9" s="138"/>
      <c r="C9" s="69">
        <f>AVERAGE(C5:C8)</f>
        <v>1.0750000000000002</v>
      </c>
      <c r="D9" s="69">
        <f>AVERAGE(D5:D8)</f>
        <v>1.0250000000000001</v>
      </c>
      <c r="E9" s="69">
        <f>AVERAGE(E5:E8)</f>
        <v>1.15</v>
      </c>
      <c r="F9" s="146">
        <f>AVERAGE(F5:F8)</f>
        <v>1.075</v>
      </c>
      <c r="G9" s="144"/>
      <c r="H9" s="68"/>
    </row>
    <row r="10" spans="2:8" ht="15.75">
      <c r="B10" s="130" t="s">
        <v>243</v>
      </c>
      <c r="C10" s="62"/>
      <c r="D10" s="62"/>
      <c r="E10" s="62"/>
      <c r="F10" s="62"/>
      <c r="G10" s="144"/>
      <c r="H10" s="68"/>
    </row>
    <row r="11" spans="2:8" ht="13.5">
      <c r="B11" s="137"/>
      <c r="C11" s="136" t="s">
        <v>239</v>
      </c>
      <c r="D11" s="136" t="s">
        <v>240</v>
      </c>
      <c r="E11" s="136" t="s">
        <v>241</v>
      </c>
      <c r="F11" s="140" t="s">
        <v>242</v>
      </c>
      <c r="G11" s="145" t="s">
        <v>245</v>
      </c>
      <c r="H11" s="66"/>
    </row>
    <row r="12" spans="2:8" ht="13.5">
      <c r="B12" s="138" t="s">
        <v>235</v>
      </c>
      <c r="C12" s="150">
        <f aca="true" t="shared" si="0" ref="C12:F13">C5*$C$1</f>
        <v>30</v>
      </c>
      <c r="D12" s="150">
        <f t="shared" si="0"/>
        <v>22.5</v>
      </c>
      <c r="E12" s="150">
        <f t="shared" si="0"/>
        <v>27.500000000000004</v>
      </c>
      <c r="F12" s="151">
        <f t="shared" si="0"/>
        <v>25</v>
      </c>
      <c r="G12" s="68">
        <f>SUM(C12:F12)</f>
        <v>105</v>
      </c>
      <c r="H12" s="61"/>
    </row>
    <row r="13" spans="2:8" ht="13.5">
      <c r="B13" s="138" t="s">
        <v>236</v>
      </c>
      <c r="C13" s="150">
        <f t="shared" si="0"/>
        <v>37.5</v>
      </c>
      <c r="D13" s="150">
        <f t="shared" si="0"/>
        <v>45</v>
      </c>
      <c r="E13" s="150">
        <f t="shared" si="0"/>
        <v>40</v>
      </c>
      <c r="F13" s="151">
        <f t="shared" si="0"/>
        <v>40</v>
      </c>
      <c r="G13" s="68">
        <f>SUM(C13:F13)</f>
        <v>162.5</v>
      </c>
      <c r="H13" s="61"/>
    </row>
    <row r="14" spans="2:8" ht="13.5">
      <c r="B14" s="138" t="s">
        <v>237</v>
      </c>
      <c r="C14" s="150">
        <f aca="true" t="shared" si="1" ref="C14:F15">C7*$C$1</f>
        <v>27.500000000000004</v>
      </c>
      <c r="D14" s="150">
        <f t="shared" si="1"/>
        <v>25</v>
      </c>
      <c r="E14" s="150">
        <f t="shared" si="1"/>
        <v>35</v>
      </c>
      <c r="F14" s="151">
        <f t="shared" si="1"/>
        <v>22.5</v>
      </c>
      <c r="G14" s="68">
        <f>SUM(C14:F14)</f>
        <v>110</v>
      </c>
      <c r="H14" s="61"/>
    </row>
    <row r="15" spans="2:7" ht="13.5">
      <c r="B15" s="137" t="s">
        <v>238</v>
      </c>
      <c r="C15" s="152">
        <f t="shared" si="1"/>
        <v>12.5</v>
      </c>
      <c r="D15" s="152">
        <f t="shared" si="1"/>
        <v>10</v>
      </c>
      <c r="E15" s="152">
        <f t="shared" si="1"/>
        <v>12.5</v>
      </c>
      <c r="F15" s="153">
        <f t="shared" si="1"/>
        <v>20</v>
      </c>
      <c r="G15" s="154">
        <f>SUM(C15:F15)</f>
        <v>55</v>
      </c>
    </row>
    <row r="16" spans="2:9" ht="13.5">
      <c r="B16" s="139" t="s">
        <v>244</v>
      </c>
      <c r="C16" s="150">
        <f>SUM(C12:C15)</f>
        <v>107.5</v>
      </c>
      <c r="D16" s="150">
        <f>SUM(D12:D15)</f>
        <v>102.5</v>
      </c>
      <c r="E16" s="150">
        <f>SUM(E12:E15)</f>
        <v>115</v>
      </c>
      <c r="F16" s="151">
        <f>SUM(F12:F15)</f>
        <v>107.5</v>
      </c>
      <c r="G16" s="149">
        <f>SUM(C12:F15)</f>
        <v>432.5</v>
      </c>
      <c r="H16" s="86" t="s">
        <v>246</v>
      </c>
      <c r="I16" s="78"/>
    </row>
    <row r="17" spans="4:9" ht="13.5">
      <c r="D17" s="84"/>
      <c r="G17" s="79">
        <f>16*C1</f>
        <v>400</v>
      </c>
      <c r="H17" s="80" t="s">
        <v>247</v>
      </c>
      <c r="I17" s="80"/>
    </row>
    <row r="18" spans="2:8" ht="15">
      <c r="B18" s="83"/>
      <c r="C18" s="86"/>
      <c r="G18" s="83">
        <f>C23/G17</f>
        <v>467.640625</v>
      </c>
      <c r="H18" s="80" t="s">
        <v>234</v>
      </c>
    </row>
    <row r="19" spans="2:4" ht="15">
      <c r="B19" s="79" t="s">
        <v>224</v>
      </c>
      <c r="C19" s="147">
        <f>SUMSQ(C12:F15)</f>
        <v>13343.75</v>
      </c>
      <c r="D19" s="84"/>
    </row>
    <row r="20" spans="2:4" ht="15">
      <c r="B20" s="83" t="s">
        <v>225</v>
      </c>
      <c r="C20" s="147">
        <f>SUMSQ(C16:F16)</f>
        <v>46843.75</v>
      </c>
      <c r="D20" s="84"/>
    </row>
    <row r="21" spans="1:4" ht="15">
      <c r="A21" s="80"/>
      <c r="B21" s="79" t="s">
        <v>226</v>
      </c>
      <c r="C21" s="147">
        <f>SUMSQ(G12:G15)</f>
        <v>52556.25</v>
      </c>
      <c r="D21" s="84"/>
    </row>
    <row r="22" spans="1:4" ht="15">
      <c r="A22" s="80"/>
      <c r="B22" s="79" t="s">
        <v>230</v>
      </c>
      <c r="C22" s="147">
        <f>SUMSQ(C12:F12)</f>
        <v>2787.5</v>
      </c>
      <c r="D22" s="84"/>
    </row>
    <row r="23" spans="2:4" ht="15">
      <c r="B23" s="79" t="s">
        <v>231</v>
      </c>
      <c r="C23" s="147">
        <f>G16^2</f>
        <v>187056.25</v>
      </c>
      <c r="D23" s="86"/>
    </row>
    <row r="24" spans="2:4" ht="15">
      <c r="B24" s="79" t="s">
        <v>232</v>
      </c>
      <c r="C24" s="86">
        <v>591.35</v>
      </c>
      <c r="D24" s="86"/>
    </row>
    <row r="25" spans="2:4" ht="15">
      <c r="B25" s="79" t="s">
        <v>233</v>
      </c>
      <c r="C25" s="86">
        <v>129.45</v>
      </c>
      <c r="D25" s="86"/>
    </row>
    <row r="26" spans="1:4" ht="15" thickBot="1">
      <c r="A26" s="88"/>
      <c r="B26" s="81"/>
      <c r="C26" s="86"/>
      <c r="D26" s="86"/>
    </row>
    <row r="27" spans="1:4" ht="13.5">
      <c r="A27" s="79" t="s">
        <v>51</v>
      </c>
      <c r="B27" s="108" t="s">
        <v>248</v>
      </c>
      <c r="C27" s="155">
        <f>G16/G17</f>
        <v>1.08125</v>
      </c>
      <c r="D27" s="80"/>
    </row>
    <row r="28" spans="2:4" ht="13.5">
      <c r="B28" s="156" t="s">
        <v>249</v>
      </c>
      <c r="C28" s="174">
        <f>G16</f>
        <v>432.5</v>
      </c>
      <c r="D28" s="86"/>
    </row>
    <row r="29" spans="2:4" ht="13.5">
      <c r="B29" s="156" t="s">
        <v>250</v>
      </c>
      <c r="C29" s="157">
        <f>4*C1</f>
        <v>100</v>
      </c>
      <c r="D29" s="86"/>
    </row>
    <row r="30" spans="2:4" ht="15" thickBot="1">
      <c r="B30" s="110" t="s">
        <v>165</v>
      </c>
      <c r="C30" s="111">
        <f>4*C1</f>
        <v>100</v>
      </c>
      <c r="D30" s="86"/>
    </row>
    <row r="31" spans="1:4" ht="13.5">
      <c r="A31" s="88"/>
      <c r="B31" s="81"/>
      <c r="C31" s="92"/>
      <c r="D31" s="92"/>
    </row>
    <row r="32" spans="1:4" ht="15" thickBot="1">
      <c r="A32" s="88"/>
      <c r="B32" s="70"/>
      <c r="C32" s="98"/>
      <c r="D32" s="95"/>
    </row>
    <row r="33" spans="1:7" ht="15" thickBot="1">
      <c r="A33" s="79" t="s">
        <v>52</v>
      </c>
      <c r="B33" s="163" t="s">
        <v>166</v>
      </c>
      <c r="C33" s="164" t="s">
        <v>252</v>
      </c>
      <c r="D33" s="164" t="s">
        <v>304</v>
      </c>
      <c r="E33" s="115" t="s">
        <v>167</v>
      </c>
      <c r="F33" s="115" t="s">
        <v>168</v>
      </c>
      <c r="G33" s="118" t="s">
        <v>169</v>
      </c>
    </row>
    <row r="34" spans="1:7" ht="13.5">
      <c r="A34" s="88"/>
      <c r="B34" s="165" t="s">
        <v>170</v>
      </c>
      <c r="C34" s="82">
        <v>15</v>
      </c>
      <c r="D34" s="158">
        <f>C19/C1-G18</f>
        <v>66.109375</v>
      </c>
      <c r="E34" s="79"/>
      <c r="G34" s="166"/>
    </row>
    <row r="35" spans="2:7" ht="13.5">
      <c r="B35" s="167" t="s">
        <v>171</v>
      </c>
      <c r="C35" s="79">
        <v>3</v>
      </c>
      <c r="D35" s="159">
        <f>C20/C29-G18</f>
        <v>0.796875</v>
      </c>
      <c r="E35" s="83">
        <f>D35/C35</f>
        <v>0.265625</v>
      </c>
      <c r="F35" s="83">
        <f>E35/$E$38</f>
        <v>1.7708333333333328</v>
      </c>
      <c r="G35" s="168">
        <f>FINV(0.05,C35,$C$38)</f>
        <v>2.628148702800493</v>
      </c>
    </row>
    <row r="36" spans="1:7" ht="13.5">
      <c r="A36" s="88"/>
      <c r="B36" s="167" t="s">
        <v>172</v>
      </c>
      <c r="C36" s="79">
        <v>3</v>
      </c>
      <c r="D36" s="160">
        <f>C21/C30-G18</f>
        <v>57.921875</v>
      </c>
      <c r="E36" s="83">
        <f>D36/C36</f>
        <v>19.307291666666668</v>
      </c>
      <c r="F36" s="83">
        <f>E36/$E$38</f>
        <v>128.71527777777774</v>
      </c>
      <c r="G36" s="168">
        <f>FINV(0.05,C36,$C$38)</f>
        <v>2.628148702800493</v>
      </c>
    </row>
    <row r="37" spans="2:7" ht="13.5">
      <c r="B37" s="169" t="s">
        <v>173</v>
      </c>
      <c r="C37" s="79">
        <f>C35*C36</f>
        <v>9</v>
      </c>
      <c r="D37" s="160">
        <f>D34-(D35+D36)</f>
        <v>7.390625</v>
      </c>
      <c r="E37" s="83">
        <f>D37/C37</f>
        <v>0.8211805555555556</v>
      </c>
      <c r="F37" s="83">
        <f>E37/$E$38</f>
        <v>5.474537037037035</v>
      </c>
      <c r="G37" s="168">
        <f>FINV(0.05,C37,$C$38)</f>
        <v>1.9042797413213908</v>
      </c>
    </row>
    <row r="38" spans="2:7" ht="13.5">
      <c r="B38" s="170" t="s">
        <v>174</v>
      </c>
      <c r="C38" s="82">
        <f>16*(C1-1)</f>
        <v>384</v>
      </c>
      <c r="D38" s="161">
        <f>C24-C19/C1</f>
        <v>57.60000000000002</v>
      </c>
      <c r="E38" s="84">
        <f>D38/C38</f>
        <v>0.15000000000000005</v>
      </c>
      <c r="G38" s="166"/>
    </row>
    <row r="39" spans="2:12" ht="15" thickBot="1">
      <c r="B39" s="171" t="s">
        <v>175</v>
      </c>
      <c r="C39" s="122">
        <f>C34+C38</f>
        <v>399</v>
      </c>
      <c r="D39" s="162">
        <f>D34+D38</f>
        <v>123.70937500000002</v>
      </c>
      <c r="E39" s="120"/>
      <c r="F39" s="120"/>
      <c r="G39" s="123"/>
      <c r="I39" s="83"/>
      <c r="J39" s="83"/>
      <c r="K39" s="83"/>
      <c r="L39" s="83"/>
    </row>
    <row r="40" spans="2:12" ht="13.5">
      <c r="B40" s="148"/>
      <c r="C40" s="80"/>
      <c r="D40" s="86"/>
      <c r="E40" s="79"/>
      <c r="I40" s="83"/>
      <c r="J40" s="83"/>
      <c r="K40" s="83"/>
      <c r="L40" s="83"/>
    </row>
    <row r="41" spans="1:12" ht="13.5">
      <c r="A41" s="79" t="s">
        <v>299</v>
      </c>
      <c r="B41" s="148"/>
      <c r="C41" s="80"/>
      <c r="D41" s="86"/>
      <c r="E41" s="79"/>
      <c r="I41" s="83"/>
      <c r="J41" s="83"/>
      <c r="K41" s="83"/>
      <c r="L41" s="83"/>
    </row>
    <row r="42" spans="2:12" ht="405.75" customHeight="1">
      <c r="B42" s="82"/>
      <c r="D42" s="79"/>
      <c r="E42" s="79"/>
      <c r="I42" s="83"/>
      <c r="J42" s="83"/>
      <c r="K42" s="83"/>
      <c r="L42" s="83"/>
    </row>
    <row r="43" spans="1:12" ht="30.75" customHeight="1">
      <c r="A43" s="175" t="s">
        <v>300</v>
      </c>
      <c r="B43" s="387" t="s">
        <v>80</v>
      </c>
      <c r="C43" s="388"/>
      <c r="D43" s="388"/>
      <c r="E43" s="388"/>
      <c r="F43" s="388"/>
      <c r="G43" s="388"/>
      <c r="H43" s="388"/>
      <c r="I43" s="83"/>
      <c r="J43" s="83"/>
      <c r="K43" s="83"/>
      <c r="L43" s="83"/>
    </row>
    <row r="44" spans="2:12" ht="15" customHeight="1">
      <c r="B44" s="82"/>
      <c r="D44" s="79"/>
      <c r="E44" s="79"/>
      <c r="I44" s="83"/>
      <c r="J44" s="83"/>
      <c r="K44" s="83"/>
      <c r="L44" s="83"/>
    </row>
    <row r="45" spans="1:12" ht="13.5">
      <c r="A45" s="79" t="s">
        <v>301</v>
      </c>
      <c r="B45" s="79" t="s">
        <v>176</v>
      </c>
      <c r="C45" s="86">
        <f>SQRT(E38/C1)</f>
        <v>0.07745966692414835</v>
      </c>
      <c r="D45" s="79"/>
      <c r="E45" s="79"/>
      <c r="I45" s="83"/>
      <c r="J45" s="83"/>
      <c r="K45" s="83"/>
      <c r="L45" s="83"/>
    </row>
    <row r="46" spans="1:12" ht="15" thickBot="1">
      <c r="A46" s="78"/>
      <c r="B46" s="79" t="s">
        <v>177</v>
      </c>
      <c r="C46" s="86">
        <f>TINV(0.05,C38)</f>
        <v>1.9661608865488676</v>
      </c>
      <c r="D46" s="79"/>
      <c r="E46" s="79"/>
      <c r="I46" s="83"/>
      <c r="J46" s="83"/>
      <c r="K46" s="83"/>
      <c r="L46" s="83"/>
    </row>
    <row r="47" spans="2:5" ht="15" thickBot="1">
      <c r="B47" s="112" t="s">
        <v>178</v>
      </c>
      <c r="C47" s="87">
        <f>C45*C46</f>
        <v>0.1522981673913635</v>
      </c>
      <c r="D47" s="79"/>
      <c r="E47" s="79"/>
    </row>
    <row r="48" spans="2:11" ht="13.5">
      <c r="B48" s="82"/>
      <c r="D48" s="79"/>
      <c r="E48" s="79"/>
      <c r="H48" s="83"/>
      <c r="I48" s="83"/>
      <c r="J48" s="83"/>
      <c r="K48" s="83"/>
    </row>
    <row r="49" spans="1:11" ht="13.5">
      <c r="A49" s="79" t="s">
        <v>179</v>
      </c>
      <c r="B49" s="79" t="s">
        <v>42</v>
      </c>
      <c r="C49" s="86">
        <f>SQRT(E38/G17)</f>
        <v>0.019364916731037088</v>
      </c>
      <c r="D49" s="79"/>
      <c r="E49" s="79"/>
      <c r="H49" s="83"/>
      <c r="I49" s="83"/>
      <c r="J49" s="83"/>
      <c r="K49" s="83"/>
    </row>
    <row r="50" spans="1:11" ht="15" thickBot="1">
      <c r="A50" s="78"/>
      <c r="B50" s="79" t="s">
        <v>177</v>
      </c>
      <c r="C50" s="86">
        <f>TINV(0.05,C38)</f>
        <v>1.9661608865488676</v>
      </c>
      <c r="D50" s="79"/>
      <c r="E50" s="79"/>
      <c r="H50" s="83"/>
      <c r="I50" s="83"/>
      <c r="J50" s="83"/>
      <c r="K50" s="83"/>
    </row>
    <row r="51" spans="2:11" ht="15" thickBot="1">
      <c r="B51" s="112" t="s">
        <v>178</v>
      </c>
      <c r="C51" s="87">
        <f>C49*C50</f>
        <v>0.03807454184784088</v>
      </c>
      <c r="H51" s="83"/>
      <c r="I51" s="83"/>
      <c r="J51" s="83"/>
      <c r="K51" s="83"/>
    </row>
    <row r="52" spans="1:12" ht="30.75" customHeight="1">
      <c r="A52" s="175"/>
      <c r="B52" s="387" t="s">
        <v>283</v>
      </c>
      <c r="C52" s="388"/>
      <c r="D52" s="388"/>
      <c r="E52" s="388"/>
      <c r="F52" s="388"/>
      <c r="G52" s="388"/>
      <c r="H52" s="388"/>
      <c r="I52" s="83"/>
      <c r="J52" s="83"/>
      <c r="K52" s="83"/>
      <c r="L52" s="83"/>
    </row>
    <row r="53" spans="8:11" ht="13.5">
      <c r="H53" s="83"/>
      <c r="I53" s="83"/>
      <c r="J53" s="83"/>
      <c r="K53" s="83"/>
    </row>
    <row r="54" spans="1:11" ht="13.5">
      <c r="A54" s="79" t="s">
        <v>152</v>
      </c>
      <c r="B54" s="79" t="s">
        <v>200</v>
      </c>
      <c r="C54" s="86">
        <f>SUMSQ(C12:F12)/C1-G12^2/C30</f>
        <v>1.25</v>
      </c>
      <c r="H54" s="83"/>
      <c r="I54" s="83"/>
      <c r="J54" s="83"/>
      <c r="K54" s="83"/>
    </row>
    <row r="55" spans="2:11" ht="13.5">
      <c r="B55" s="79" t="s">
        <v>180</v>
      </c>
      <c r="C55" s="80">
        <v>3</v>
      </c>
      <c r="H55" s="83"/>
      <c r="I55" s="83"/>
      <c r="J55" s="83"/>
      <c r="K55" s="83"/>
    </row>
    <row r="56" spans="2:11" ht="15" thickBot="1">
      <c r="B56" s="79" t="s">
        <v>201</v>
      </c>
      <c r="C56" s="86">
        <f>C54/C55</f>
        <v>0.4166666666666667</v>
      </c>
      <c r="H56" s="83"/>
      <c r="I56" s="83"/>
      <c r="J56" s="83"/>
      <c r="K56" s="83"/>
    </row>
    <row r="57" spans="2:4" ht="13.5">
      <c r="B57" s="127" t="s">
        <v>203</v>
      </c>
      <c r="C57" s="155">
        <f>C56/E38</f>
        <v>2.777777777777777</v>
      </c>
      <c r="D57" s="83"/>
    </row>
    <row r="58" spans="2:3" ht="15" thickBot="1">
      <c r="B58" s="172" t="s">
        <v>204</v>
      </c>
      <c r="C58" s="173">
        <f>FINV(0.05,3,C38)</f>
        <v>2.628148702800493</v>
      </c>
    </row>
    <row r="59" spans="2:3" ht="13.5">
      <c r="B59" s="83"/>
      <c r="C59" s="86"/>
    </row>
    <row r="60" spans="2:3" ht="13.5">
      <c r="B60" s="83"/>
      <c r="C60" s="80"/>
    </row>
    <row r="61" spans="1:3" ht="13.5">
      <c r="A61" s="79" t="s">
        <v>155</v>
      </c>
      <c r="B61" s="79" t="s">
        <v>205</v>
      </c>
      <c r="C61" s="86">
        <f>C25-C22/C1</f>
        <v>17.94999999999999</v>
      </c>
    </row>
    <row r="62" spans="1:3" ht="15" thickBot="1">
      <c r="A62" s="88"/>
      <c r="B62" s="79" t="s">
        <v>206</v>
      </c>
      <c r="C62" s="80">
        <f>4*(C1-1)</f>
        <v>96</v>
      </c>
    </row>
    <row r="63" spans="2:3" ht="15" thickBot="1">
      <c r="B63" s="112" t="s">
        <v>207</v>
      </c>
      <c r="C63" s="87">
        <f>C61/C62</f>
        <v>0.18697916666666656</v>
      </c>
    </row>
    <row r="64" spans="3:4" ht="13.5">
      <c r="C64" s="80"/>
      <c r="D64" s="79"/>
    </row>
    <row r="65" spans="2:7" ht="13.5">
      <c r="B65" s="83"/>
      <c r="C65" s="80"/>
      <c r="D65" s="83"/>
      <c r="F65" s="82"/>
      <c r="G65" s="82"/>
    </row>
    <row r="66" spans="1:7" ht="13.5">
      <c r="A66" s="78" t="s">
        <v>303</v>
      </c>
      <c r="B66" s="86" t="s">
        <v>284</v>
      </c>
      <c r="C66" s="80"/>
      <c r="D66" s="83"/>
      <c r="E66" s="86"/>
      <c r="F66" s="84"/>
      <c r="G66" s="84"/>
    </row>
    <row r="67" spans="1:4" ht="13.5">
      <c r="A67" s="79" t="s">
        <v>51</v>
      </c>
      <c r="B67" s="83"/>
      <c r="C67" s="86"/>
      <c r="D67" s="83"/>
    </row>
    <row r="68" spans="2:4" ht="14.25">
      <c r="B68" s="83"/>
      <c r="C68" s="80"/>
      <c r="D68" s="83"/>
    </row>
    <row r="69" spans="2:4" ht="14.25">
      <c r="B69" s="83"/>
      <c r="C69" s="86"/>
      <c r="D69" s="83"/>
    </row>
    <row r="70" spans="1:7" ht="14.25">
      <c r="A70" s="88"/>
      <c r="B70" s="83"/>
      <c r="C70" s="86"/>
      <c r="D70" s="79"/>
      <c r="F70" s="82"/>
      <c r="G70" s="82"/>
    </row>
    <row r="71" spans="3:7" ht="14.25">
      <c r="C71" s="86"/>
      <c r="F71" s="82"/>
      <c r="G71" s="82"/>
    </row>
    <row r="72" spans="2:7" ht="14.25">
      <c r="B72" s="81"/>
      <c r="C72" s="92"/>
      <c r="D72" s="93"/>
      <c r="E72" s="86"/>
      <c r="F72" s="82"/>
      <c r="G72" s="82"/>
    </row>
    <row r="73" spans="2:7" ht="14.25">
      <c r="B73" s="81"/>
      <c r="C73" s="92"/>
      <c r="D73" s="93"/>
      <c r="F73" s="82"/>
      <c r="G73" s="82"/>
    </row>
    <row r="74" spans="2:7" ht="14.25">
      <c r="B74" s="81"/>
      <c r="C74" s="92"/>
      <c r="D74" s="93"/>
      <c r="F74" s="82"/>
      <c r="G74" s="82"/>
    </row>
    <row r="75" spans="2:7" ht="14.25">
      <c r="B75" s="92"/>
      <c r="C75" s="92"/>
      <c r="D75" s="93"/>
      <c r="F75" s="82"/>
      <c r="G75" s="82"/>
    </row>
    <row r="76" spans="2:7" ht="14.25">
      <c r="B76" s="81"/>
      <c r="C76" s="92"/>
      <c r="D76" s="93"/>
      <c r="F76" s="82"/>
      <c r="G76" s="82"/>
    </row>
    <row r="77" spans="2:7" ht="14.25">
      <c r="B77" s="81"/>
      <c r="C77" s="92"/>
      <c r="D77" s="93"/>
      <c r="F77" s="82"/>
      <c r="G77" s="82"/>
    </row>
    <row r="78" spans="2:7" ht="14.25">
      <c r="B78" s="81"/>
      <c r="C78" s="80"/>
      <c r="D78" s="93"/>
      <c r="F78" s="82"/>
      <c r="G78" s="82"/>
    </row>
    <row r="79" spans="2:7" ht="14.25">
      <c r="B79" s="81"/>
      <c r="C79" s="92"/>
      <c r="D79" s="93"/>
      <c r="F79" s="82"/>
      <c r="G79" s="82"/>
    </row>
    <row r="80" spans="1:4" ht="14.25">
      <c r="A80" s="88"/>
      <c r="B80" s="81"/>
      <c r="C80" s="92"/>
      <c r="D80" s="93"/>
    </row>
    <row r="81" spans="2:4" ht="14.25">
      <c r="B81" s="81"/>
      <c r="C81" s="92"/>
      <c r="D81" s="93"/>
    </row>
    <row r="82" ht="14.25"/>
    <row r="83" ht="14.25"/>
    <row r="84" spans="1:3" ht="14.25">
      <c r="A84" s="78"/>
      <c r="C84" s="80"/>
    </row>
    <row r="85" ht="14.25">
      <c r="C85" s="80"/>
    </row>
    <row r="86" spans="2:3" ht="14.25">
      <c r="B86" s="83"/>
      <c r="C86" s="86"/>
    </row>
    <row r="87" spans="2:3" ht="14.25">
      <c r="B87" s="83"/>
      <c r="C87" s="86"/>
    </row>
    <row r="88" spans="2:3" ht="14.25">
      <c r="B88" s="83"/>
      <c r="C88" s="80"/>
    </row>
    <row r="89" ht="14.25">
      <c r="C89" s="86"/>
    </row>
    <row r="90" spans="2:3" ht="14.25">
      <c r="B90" s="83"/>
      <c r="C90" s="86"/>
    </row>
    <row r="91" spans="1:3" ht="14.25">
      <c r="A91" s="79" t="s">
        <v>52</v>
      </c>
      <c r="B91" s="83"/>
      <c r="C91" s="86"/>
    </row>
    <row r="92" spans="2:3" ht="14.25">
      <c r="B92" s="83"/>
      <c r="C92" s="86"/>
    </row>
    <row r="93" ht="14.25">
      <c r="C93" s="86"/>
    </row>
    <row r="94" ht="14.25">
      <c r="B94" s="83"/>
    </row>
    <row r="95" spans="1:3" ht="14.25">
      <c r="A95" s="83"/>
      <c r="C95" s="86"/>
    </row>
    <row r="96" spans="3:6" ht="14.25">
      <c r="C96" s="86"/>
      <c r="F96" s="82"/>
    </row>
    <row r="97" spans="3:6" ht="14.25">
      <c r="C97" s="80"/>
      <c r="D97" s="84"/>
      <c r="E97" s="86"/>
      <c r="F97" s="84"/>
    </row>
    <row r="98" spans="2:3" ht="14.25">
      <c r="B98" s="83"/>
      <c r="C98" s="86"/>
    </row>
    <row r="99" spans="3:9" ht="14.25">
      <c r="C99" s="86"/>
      <c r="F99" s="82"/>
      <c r="G99" s="82"/>
      <c r="H99" s="82"/>
      <c r="I99" s="82"/>
    </row>
    <row r="100" spans="1:9" ht="14.25">
      <c r="A100" s="82"/>
      <c r="B100" s="83"/>
      <c r="C100" s="86"/>
      <c r="D100" s="84"/>
      <c r="E100" s="86"/>
      <c r="F100" s="82"/>
      <c r="G100" s="82"/>
      <c r="H100" s="82"/>
      <c r="I100" s="82"/>
    </row>
    <row r="101" spans="1:9" ht="14.25">
      <c r="A101" s="82"/>
      <c r="B101" s="84"/>
      <c r="D101" s="84"/>
      <c r="E101" s="86"/>
      <c r="F101" s="82"/>
      <c r="G101" s="82"/>
      <c r="H101" s="82"/>
      <c r="I101" s="82"/>
    </row>
    <row r="102" spans="1:9" ht="14.25">
      <c r="A102" s="82"/>
      <c r="B102" s="82"/>
      <c r="C102" s="82"/>
      <c r="F102" s="82"/>
      <c r="G102" s="82"/>
      <c r="H102" s="82"/>
      <c r="I102" s="82"/>
    </row>
    <row r="103" spans="1:9" ht="14.25">
      <c r="A103" s="82"/>
      <c r="B103" s="84"/>
      <c r="C103" s="84"/>
      <c r="D103" s="84"/>
      <c r="E103" s="86"/>
      <c r="F103" s="82"/>
      <c r="G103" s="82"/>
      <c r="H103" s="82"/>
      <c r="I103" s="82"/>
    </row>
    <row r="104" spans="1:9" ht="14.25">
      <c r="A104" s="82"/>
      <c r="B104" s="84"/>
      <c r="C104" s="84"/>
      <c r="D104" s="84"/>
      <c r="E104" s="86"/>
      <c r="F104" s="82"/>
      <c r="G104" s="82"/>
      <c r="H104" s="82"/>
      <c r="I104" s="82"/>
    </row>
    <row r="105" spans="1:9" ht="14.25">
      <c r="A105" s="82"/>
      <c r="B105" s="82"/>
      <c r="C105" s="82"/>
      <c r="F105" s="82"/>
      <c r="G105" s="82"/>
      <c r="H105" s="82"/>
      <c r="I105" s="82"/>
    </row>
    <row r="106" spans="1:9" ht="14.25">
      <c r="A106" s="82"/>
      <c r="B106" s="84"/>
      <c r="C106" s="84"/>
      <c r="D106" s="84"/>
      <c r="E106" s="86"/>
      <c r="F106" s="82"/>
      <c r="G106" s="82"/>
      <c r="H106" s="82"/>
      <c r="I106" s="82"/>
    </row>
    <row r="107" spans="1:9" ht="14.25">
      <c r="A107" s="82"/>
      <c r="B107" s="84"/>
      <c r="C107" s="84"/>
      <c r="D107" s="84"/>
      <c r="E107" s="86"/>
      <c r="F107" s="82"/>
      <c r="G107" s="82"/>
      <c r="H107" s="82"/>
      <c r="I107" s="82"/>
    </row>
    <row r="108" spans="1:9" ht="14.25">
      <c r="A108" s="82"/>
      <c r="B108" s="84"/>
      <c r="C108" s="84"/>
      <c r="D108" s="84"/>
      <c r="E108" s="86"/>
      <c r="F108" s="82"/>
      <c r="G108" s="82"/>
      <c r="H108" s="82"/>
      <c r="I108" s="82"/>
    </row>
    <row r="109" spans="1:9" ht="14.25">
      <c r="A109" s="88"/>
      <c r="B109" s="83"/>
      <c r="C109" s="84"/>
      <c r="D109" s="84"/>
      <c r="E109" s="86"/>
      <c r="F109" s="82"/>
      <c r="G109" s="82"/>
      <c r="H109" s="82"/>
      <c r="I109" s="82"/>
    </row>
    <row r="110" spans="2:9" ht="14.25">
      <c r="B110" s="83"/>
      <c r="C110" s="84"/>
      <c r="D110" s="84"/>
      <c r="E110" s="86"/>
      <c r="F110" s="82"/>
      <c r="G110" s="82"/>
      <c r="H110" s="82"/>
      <c r="I110" s="82"/>
    </row>
    <row r="111" spans="2:9" ht="14.25">
      <c r="B111" s="83"/>
      <c r="C111" s="84"/>
      <c r="D111" s="84"/>
      <c r="E111" s="86"/>
      <c r="F111" s="82"/>
      <c r="G111" s="82"/>
      <c r="H111" s="82"/>
      <c r="I111" s="82"/>
    </row>
    <row r="112" spans="2:9" ht="14.25">
      <c r="B112" s="83"/>
      <c r="C112" s="82"/>
      <c r="F112" s="82"/>
      <c r="G112" s="82"/>
      <c r="H112" s="82"/>
      <c r="I112" s="82"/>
    </row>
    <row r="113" spans="3:9" ht="14.25">
      <c r="C113" s="80"/>
      <c r="F113" s="82"/>
      <c r="G113" s="82"/>
      <c r="H113" s="82"/>
      <c r="I113" s="82"/>
    </row>
    <row r="114" spans="3:9" ht="14.25">
      <c r="C114" s="80"/>
      <c r="F114" s="82"/>
      <c r="G114" s="82"/>
      <c r="H114" s="82"/>
      <c r="I114" s="82"/>
    </row>
    <row r="115" spans="3:9" ht="13.5">
      <c r="C115" s="80"/>
      <c r="F115" s="82"/>
      <c r="G115" s="82"/>
      <c r="H115" s="82"/>
      <c r="I115" s="82"/>
    </row>
    <row r="116" spans="3:9" ht="13.5">
      <c r="C116" s="80"/>
      <c r="F116" s="82"/>
      <c r="G116" s="82"/>
      <c r="H116" s="82"/>
      <c r="I116" s="82"/>
    </row>
    <row r="117" spans="2:9" ht="13.5">
      <c r="B117" s="83"/>
      <c r="C117" s="80"/>
      <c r="F117" s="82"/>
      <c r="G117" s="82"/>
      <c r="H117" s="82"/>
      <c r="I117" s="82"/>
    </row>
    <row r="118" spans="2:9" ht="13.5">
      <c r="B118" s="83"/>
      <c r="C118" s="80"/>
      <c r="D118" s="84"/>
      <c r="F118" s="82"/>
      <c r="G118" s="82"/>
      <c r="H118" s="82"/>
      <c r="I118" s="82"/>
    </row>
    <row r="119" spans="2:9" ht="13.5">
      <c r="B119" s="83"/>
      <c r="C119" s="80"/>
      <c r="F119" s="82"/>
      <c r="G119" s="82"/>
      <c r="H119" s="82"/>
      <c r="I119" s="82"/>
    </row>
    <row r="120" spans="2:9" ht="13.5">
      <c r="B120" s="83"/>
      <c r="C120" s="80"/>
      <c r="F120" s="82"/>
      <c r="G120" s="82"/>
      <c r="H120" s="82"/>
      <c r="I120" s="82"/>
    </row>
    <row r="121" spans="2:9" ht="13.5">
      <c r="B121" s="83"/>
      <c r="C121" s="80"/>
      <c r="F121" s="82"/>
      <c r="G121" s="82"/>
      <c r="H121" s="82"/>
      <c r="I121" s="82"/>
    </row>
    <row r="122" spans="2:9" ht="13.5">
      <c r="B122" s="83"/>
      <c r="C122" s="80"/>
      <c r="F122" s="82"/>
      <c r="G122" s="82"/>
      <c r="H122" s="82"/>
      <c r="I122" s="82"/>
    </row>
    <row r="123" spans="2:9" ht="13.5">
      <c r="B123" s="83"/>
      <c r="C123" s="80"/>
      <c r="F123" s="82"/>
      <c r="G123" s="82"/>
      <c r="H123" s="82"/>
      <c r="I123" s="82"/>
    </row>
    <row r="124" spans="2:9" ht="13.5">
      <c r="B124" s="82"/>
      <c r="C124" s="82"/>
      <c r="F124" s="82"/>
      <c r="G124" s="82"/>
      <c r="H124" s="82"/>
      <c r="I124" s="82"/>
    </row>
    <row r="125" spans="2:9" ht="13.5">
      <c r="B125" s="83"/>
      <c r="C125" s="80"/>
      <c r="F125" s="82"/>
      <c r="G125" s="82"/>
      <c r="H125" s="82"/>
      <c r="I125" s="82"/>
    </row>
    <row r="126" spans="2:9" ht="13.5">
      <c r="B126" s="83"/>
      <c r="C126" s="82"/>
      <c r="F126" s="82"/>
      <c r="G126" s="82"/>
      <c r="H126" s="82"/>
      <c r="I126" s="82"/>
    </row>
    <row r="127" spans="2:9" ht="13.5">
      <c r="B127" s="83"/>
      <c r="C127" s="82"/>
      <c r="F127" s="82"/>
      <c r="G127" s="82"/>
      <c r="H127" s="82"/>
      <c r="I127" s="82"/>
    </row>
    <row r="128" spans="2:9" ht="13.5">
      <c r="B128" s="82"/>
      <c r="C128" s="82"/>
      <c r="F128" s="82"/>
      <c r="G128" s="82"/>
      <c r="H128" s="82"/>
      <c r="I128" s="82"/>
    </row>
    <row r="129" spans="2:9" ht="13.5">
      <c r="B129" s="82"/>
      <c r="C129" s="82"/>
      <c r="F129" s="82"/>
      <c r="G129" s="82"/>
      <c r="H129" s="82"/>
      <c r="I129" s="82"/>
    </row>
    <row r="130" spans="2:9" ht="13.5">
      <c r="B130" s="82"/>
      <c r="C130" s="82"/>
      <c r="F130" s="82"/>
      <c r="G130" s="82"/>
      <c r="H130" s="82"/>
      <c r="I130" s="82"/>
    </row>
    <row r="131" spans="2:9" ht="13.5">
      <c r="B131" s="82"/>
      <c r="C131" s="82"/>
      <c r="F131" s="82"/>
      <c r="G131" s="82"/>
      <c r="H131" s="82"/>
      <c r="I131" s="82"/>
    </row>
    <row r="132" spans="2:9" ht="13.5">
      <c r="B132" s="82"/>
      <c r="C132" s="82"/>
      <c r="F132" s="82"/>
      <c r="G132" s="82"/>
      <c r="H132" s="82"/>
      <c r="I132" s="82"/>
    </row>
    <row r="133" spans="2:9" ht="13.5">
      <c r="B133" s="82"/>
      <c r="C133" s="82"/>
      <c r="F133" s="82"/>
      <c r="G133" s="82"/>
      <c r="H133" s="82"/>
      <c r="I133" s="82"/>
    </row>
    <row r="134" spans="2:9" ht="13.5">
      <c r="B134" s="82"/>
      <c r="C134" s="82"/>
      <c r="F134" s="82"/>
      <c r="G134" s="82"/>
      <c r="H134" s="82"/>
      <c r="I134" s="82"/>
    </row>
    <row r="135" spans="2:9" ht="13.5">
      <c r="B135" s="82"/>
      <c r="C135" s="82"/>
      <c r="F135" s="82"/>
      <c r="G135" s="82"/>
      <c r="H135" s="82"/>
      <c r="I135" s="82"/>
    </row>
  </sheetData>
  <mergeCells count="2">
    <mergeCell ref="B43:H43"/>
    <mergeCell ref="B52:H5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zoomScale="125" zoomScaleNormal="125" workbookViewId="0" topLeftCell="A55">
      <selection activeCell="D111" sqref="D111"/>
    </sheetView>
  </sheetViews>
  <sheetFormatPr defaultColWidth="11.00390625" defaultRowHeight="13.5" customHeight="1"/>
  <cols>
    <col min="1" max="1" width="6.125" style="187" customWidth="1"/>
    <col min="2" max="4" width="12.25390625" style="187" customWidth="1"/>
    <col min="5" max="5" width="12.25390625" style="189" customWidth="1"/>
    <col min="6" max="6" width="12.25390625" style="191" customWidth="1"/>
    <col min="7" max="7" width="12.25390625" style="187" customWidth="1"/>
    <col min="8" max="10" width="8.75390625" style="187" customWidth="1"/>
    <col min="11" max="16384" width="10.75390625" style="187" customWidth="1"/>
  </cols>
  <sheetData>
    <row r="1" spans="1:10" s="177" customFormat="1" ht="13.5" customHeight="1">
      <c r="A1" s="181">
        <v>1</v>
      </c>
      <c r="B1" s="176" t="s">
        <v>39</v>
      </c>
      <c r="C1" s="180">
        <v>12</v>
      </c>
      <c r="D1" s="178"/>
      <c r="E1" s="178"/>
      <c r="F1" s="178"/>
      <c r="G1" s="178"/>
      <c r="H1" s="178"/>
      <c r="I1" s="178"/>
      <c r="J1" s="178"/>
    </row>
    <row r="2" spans="1:10" s="177" customFormat="1" ht="13.5" customHeight="1">
      <c r="A2" s="181"/>
      <c r="B2" s="178"/>
      <c r="C2" s="179"/>
      <c r="D2" s="178"/>
      <c r="E2" s="178"/>
      <c r="F2" s="178"/>
      <c r="G2" s="178"/>
      <c r="H2" s="178"/>
      <c r="I2" s="178"/>
      <c r="J2" s="178"/>
    </row>
    <row r="3" spans="1:10" ht="13.5" customHeight="1">
      <c r="A3" s="177"/>
      <c r="B3" s="182" t="s">
        <v>266</v>
      </c>
      <c r="C3" s="183" t="s">
        <v>239</v>
      </c>
      <c r="D3" s="183" t="s">
        <v>240</v>
      </c>
      <c r="E3" s="184" t="s">
        <v>241</v>
      </c>
      <c r="F3" s="185"/>
      <c r="G3" s="186"/>
      <c r="H3" s="186"/>
      <c r="I3" s="186"/>
      <c r="J3" s="186"/>
    </row>
    <row r="4" spans="2:10" ht="13.5" customHeight="1">
      <c r="B4" s="188" t="s">
        <v>26</v>
      </c>
      <c r="C4" s="189">
        <f aca="true" t="shared" si="0" ref="C4:E7">C21*$C$1</f>
        <v>72</v>
      </c>
      <c r="D4" s="189">
        <f t="shared" si="0"/>
        <v>96</v>
      </c>
      <c r="E4" s="190">
        <f t="shared" si="0"/>
        <v>12</v>
      </c>
      <c r="F4" s="191">
        <f>SUM(C4:E4)</f>
        <v>180</v>
      </c>
      <c r="G4" s="186"/>
      <c r="H4" s="186"/>
      <c r="I4" s="186"/>
      <c r="J4" s="186"/>
    </row>
    <row r="5" spans="2:12" ht="13.5" customHeight="1">
      <c r="B5" s="188" t="s">
        <v>227</v>
      </c>
      <c r="C5" s="189">
        <f t="shared" si="0"/>
        <v>120</v>
      </c>
      <c r="D5" s="189">
        <f t="shared" si="0"/>
        <v>168</v>
      </c>
      <c r="E5" s="190">
        <f t="shared" si="0"/>
        <v>48</v>
      </c>
      <c r="F5" s="191">
        <f>SUM(C5:E5)</f>
        <v>336</v>
      </c>
      <c r="G5" s="186"/>
      <c r="H5" s="186"/>
      <c r="I5" s="186"/>
      <c r="J5" s="186"/>
      <c r="K5" s="192"/>
      <c r="L5" s="192"/>
    </row>
    <row r="6" spans="2:12" ht="13.5" customHeight="1">
      <c r="B6" s="188" t="s">
        <v>228</v>
      </c>
      <c r="C6" s="189">
        <f t="shared" si="0"/>
        <v>24</v>
      </c>
      <c r="D6" s="189">
        <f t="shared" si="0"/>
        <v>24</v>
      </c>
      <c r="E6" s="190">
        <f t="shared" si="0"/>
        <v>24</v>
      </c>
      <c r="F6" s="191">
        <f>SUM(C6:E6)</f>
        <v>72</v>
      </c>
      <c r="G6" s="186"/>
      <c r="H6" s="186"/>
      <c r="I6" s="186"/>
      <c r="J6" s="186"/>
      <c r="K6" s="192"/>
      <c r="L6" s="192"/>
    </row>
    <row r="7" spans="2:12" ht="13.5" customHeight="1">
      <c r="B7" s="193" t="s">
        <v>229</v>
      </c>
      <c r="C7" s="194">
        <f t="shared" si="0"/>
        <v>36</v>
      </c>
      <c r="D7" s="194">
        <f t="shared" si="0"/>
        <v>48</v>
      </c>
      <c r="E7" s="195">
        <f t="shared" si="0"/>
        <v>60</v>
      </c>
      <c r="F7" s="196">
        <f>SUM(C7:E7)</f>
        <v>144</v>
      </c>
      <c r="G7" s="186"/>
      <c r="H7" s="186"/>
      <c r="I7" s="186"/>
      <c r="J7" s="186"/>
      <c r="K7" s="192"/>
      <c r="L7" s="192"/>
    </row>
    <row r="8" spans="2:12" ht="13.5" customHeight="1">
      <c r="B8" s="188"/>
      <c r="C8" s="189">
        <f>SUM(C4:C7)</f>
        <v>252</v>
      </c>
      <c r="D8" s="189">
        <f>SUM(D4:D7)</f>
        <v>336</v>
      </c>
      <c r="E8" s="190">
        <f>SUM(E4:E7)</f>
        <v>144</v>
      </c>
      <c r="F8" s="191">
        <f>SUM(C8:E8)</f>
        <v>732</v>
      </c>
      <c r="G8" s="186"/>
      <c r="H8" s="186"/>
      <c r="I8" s="186"/>
      <c r="J8" s="186"/>
      <c r="K8" s="192"/>
      <c r="L8" s="192"/>
    </row>
    <row r="9" spans="2:10" ht="13.5" customHeight="1">
      <c r="B9" s="197"/>
      <c r="C9" s="197"/>
      <c r="D9" s="197"/>
      <c r="E9" s="197"/>
      <c r="F9" s="197"/>
      <c r="G9" s="186"/>
      <c r="H9" s="186"/>
      <c r="I9" s="186"/>
      <c r="J9" s="186"/>
    </row>
    <row r="10" spans="2:10" ht="13.5" customHeight="1">
      <c r="B10" s="197"/>
      <c r="C10" s="197"/>
      <c r="D10" s="197"/>
      <c r="E10" s="197"/>
      <c r="F10" s="197"/>
      <c r="G10" s="186"/>
      <c r="H10" s="186"/>
      <c r="I10" s="186"/>
      <c r="J10" s="186"/>
    </row>
    <row r="11" spans="2:10" ht="13.5" customHeight="1">
      <c r="B11" s="186" t="s">
        <v>267</v>
      </c>
      <c r="C11" s="198">
        <f>SUMSQ(C4:E7)</f>
        <v>68400</v>
      </c>
      <c r="D11" s="199"/>
      <c r="E11" s="186"/>
      <c r="F11" s="186"/>
      <c r="G11" s="186"/>
      <c r="H11" s="186"/>
      <c r="I11" s="186"/>
      <c r="J11" s="186"/>
    </row>
    <row r="12" spans="2:10" ht="13.5" customHeight="1">
      <c r="B12" s="186" t="s">
        <v>268</v>
      </c>
      <c r="C12" s="198">
        <f>SUMSQ(C8:E8)</f>
        <v>197136</v>
      </c>
      <c r="D12" s="186"/>
      <c r="E12" s="186"/>
      <c r="F12" s="186"/>
      <c r="G12" s="186"/>
      <c r="H12" s="186"/>
      <c r="I12" s="186"/>
      <c r="J12" s="186"/>
    </row>
    <row r="13" spans="2:10" ht="13.5" customHeight="1">
      <c r="B13" s="186" t="s">
        <v>27</v>
      </c>
      <c r="C13" s="198">
        <f>SUMSQ(F4:F7)</f>
        <v>171216</v>
      </c>
      <c r="D13" s="186"/>
      <c r="E13" s="186"/>
      <c r="F13" s="186"/>
      <c r="G13" s="186"/>
      <c r="H13" s="186"/>
      <c r="I13" s="186"/>
      <c r="J13" s="186"/>
    </row>
    <row r="14" spans="2:10" ht="13.5" customHeight="1">
      <c r="B14" s="186" t="s">
        <v>269</v>
      </c>
      <c r="C14" s="198">
        <f>F8^2</f>
        <v>535824</v>
      </c>
      <c r="D14" s="186"/>
      <c r="E14" s="186"/>
      <c r="F14" s="186"/>
      <c r="G14" s="186"/>
      <c r="H14" s="186"/>
      <c r="I14" s="186"/>
      <c r="J14" s="186"/>
    </row>
    <row r="15" spans="2:10" ht="13.5" customHeight="1">
      <c r="B15" s="186" t="s">
        <v>270</v>
      </c>
      <c r="C15" s="198">
        <f>C14/(C1*12)</f>
        <v>3721</v>
      </c>
      <c r="D15" s="186"/>
      <c r="E15" s="186"/>
      <c r="F15" s="186"/>
      <c r="G15" s="186"/>
      <c r="H15" s="186"/>
      <c r="I15" s="186"/>
      <c r="J15" s="186"/>
    </row>
    <row r="16" spans="2:10" ht="13.5" customHeight="1">
      <c r="B16" s="186" t="s">
        <v>271</v>
      </c>
      <c r="C16" s="198">
        <v>6910</v>
      </c>
      <c r="D16" s="186" t="s">
        <v>214</v>
      </c>
      <c r="E16" s="186"/>
      <c r="F16" s="186"/>
      <c r="G16" s="186"/>
      <c r="H16" s="186"/>
      <c r="I16" s="186"/>
      <c r="J16" s="186"/>
    </row>
    <row r="17" spans="2:10" ht="13.5" customHeight="1">
      <c r="B17" s="186" t="s">
        <v>213</v>
      </c>
      <c r="C17" s="198">
        <v>3900</v>
      </c>
      <c r="D17" s="186" t="s">
        <v>215</v>
      </c>
      <c r="E17" s="186"/>
      <c r="F17" s="186"/>
      <c r="G17" s="186"/>
      <c r="H17" s="186"/>
      <c r="I17" s="186"/>
      <c r="J17" s="186"/>
    </row>
    <row r="18" spans="2:10" ht="13.5" customHeight="1">
      <c r="B18" s="186"/>
      <c r="C18" s="186"/>
      <c r="D18" s="186"/>
      <c r="E18" s="186"/>
      <c r="F18" s="186"/>
      <c r="G18" s="186"/>
      <c r="H18" s="186"/>
      <c r="I18" s="186"/>
      <c r="J18" s="186"/>
    </row>
    <row r="19" spans="3:10" ht="13.5" customHeight="1">
      <c r="C19" s="186"/>
      <c r="D19" s="186"/>
      <c r="E19" s="186"/>
      <c r="F19" s="186"/>
      <c r="G19" s="186"/>
      <c r="H19" s="186"/>
      <c r="I19" s="186"/>
      <c r="J19" s="186"/>
    </row>
    <row r="20" spans="1:10" ht="13.5" customHeight="1">
      <c r="A20" s="200" t="s">
        <v>317</v>
      </c>
      <c r="B20" s="182" t="s">
        <v>25</v>
      </c>
      <c r="C20" s="183" t="s">
        <v>239</v>
      </c>
      <c r="D20" s="183" t="s">
        <v>240</v>
      </c>
      <c r="E20" s="184" t="s">
        <v>241</v>
      </c>
      <c r="F20" s="201"/>
      <c r="G20" s="186"/>
      <c r="H20" s="186"/>
      <c r="I20" s="186"/>
      <c r="J20" s="186"/>
    </row>
    <row r="21" spans="2:10" ht="13.5" customHeight="1">
      <c r="B21" s="188" t="s">
        <v>26</v>
      </c>
      <c r="C21" s="189">
        <v>6</v>
      </c>
      <c r="D21" s="189">
        <v>8</v>
      </c>
      <c r="E21" s="190">
        <v>1</v>
      </c>
      <c r="F21" s="202"/>
      <c r="G21" s="186"/>
      <c r="H21" s="186"/>
      <c r="I21" s="186"/>
      <c r="J21" s="186"/>
    </row>
    <row r="22" spans="2:10" ht="13.5" customHeight="1">
      <c r="B22" s="188" t="s">
        <v>227</v>
      </c>
      <c r="C22" s="189">
        <v>10</v>
      </c>
      <c r="D22" s="189">
        <v>14</v>
      </c>
      <c r="E22" s="190">
        <v>4</v>
      </c>
      <c r="F22" s="202"/>
      <c r="G22" s="186"/>
      <c r="H22" s="186"/>
      <c r="I22" s="186"/>
      <c r="J22" s="186"/>
    </row>
    <row r="23" spans="2:10" ht="13.5" customHeight="1">
      <c r="B23" s="188" t="s">
        <v>228</v>
      </c>
      <c r="C23" s="189">
        <v>2</v>
      </c>
      <c r="D23" s="189">
        <v>2</v>
      </c>
      <c r="E23" s="190">
        <v>2</v>
      </c>
      <c r="F23" s="202"/>
      <c r="G23" s="186"/>
      <c r="H23" s="186"/>
      <c r="I23" s="186"/>
      <c r="J23" s="186"/>
    </row>
    <row r="24" spans="2:10" ht="13.5" customHeight="1" thickBot="1">
      <c r="B24" s="193" t="s">
        <v>229</v>
      </c>
      <c r="C24" s="189">
        <v>3</v>
      </c>
      <c r="D24" s="189">
        <v>4</v>
      </c>
      <c r="E24" s="190">
        <v>5</v>
      </c>
      <c r="F24" s="202"/>
      <c r="G24" s="186"/>
      <c r="H24" s="186"/>
      <c r="I24" s="186"/>
      <c r="J24" s="186"/>
    </row>
    <row r="25" spans="2:10" ht="13.5" customHeight="1" thickBot="1">
      <c r="B25" s="197"/>
      <c r="C25" s="216">
        <f>C8/($C$1*4)</f>
        <v>5.25</v>
      </c>
      <c r="D25" s="217">
        <f>D8/($C$1*4)</f>
        <v>7</v>
      </c>
      <c r="E25" s="218">
        <f>E8/($C$1*4)</f>
        <v>3</v>
      </c>
      <c r="F25" s="219" t="s">
        <v>212</v>
      </c>
      <c r="G25" s="220">
        <f>C1*12</f>
        <v>144</v>
      </c>
      <c r="H25" s="186"/>
      <c r="I25" s="186"/>
      <c r="J25" s="186"/>
    </row>
    <row r="26" spans="2:10" ht="13.5" customHeight="1" thickBot="1"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3.5" customHeight="1">
      <c r="A27" s="200" t="s">
        <v>217</v>
      </c>
      <c r="C27" s="221"/>
      <c r="D27" s="222" t="s">
        <v>252</v>
      </c>
      <c r="E27" s="222" t="s">
        <v>304</v>
      </c>
      <c r="F27" s="222" t="s">
        <v>167</v>
      </c>
      <c r="G27" s="223" t="s">
        <v>272</v>
      </c>
      <c r="H27" s="223" t="s">
        <v>169</v>
      </c>
      <c r="I27" s="223" t="s">
        <v>273</v>
      </c>
      <c r="J27" s="224" t="s">
        <v>169</v>
      </c>
    </row>
    <row r="28" spans="2:10" ht="13.5" customHeight="1">
      <c r="B28" s="186"/>
      <c r="C28" s="225" t="s">
        <v>274</v>
      </c>
      <c r="D28" s="189">
        <v>11</v>
      </c>
      <c r="E28" s="226">
        <f>C11/C1-C15</f>
        <v>1979</v>
      </c>
      <c r="F28" s="197"/>
      <c r="G28" s="227"/>
      <c r="H28" s="227"/>
      <c r="I28" s="227"/>
      <c r="J28" s="228"/>
    </row>
    <row r="29" spans="2:10" ht="13.5" customHeight="1">
      <c r="B29" s="186"/>
      <c r="C29" s="229" t="s">
        <v>171</v>
      </c>
      <c r="D29" s="202">
        <v>2</v>
      </c>
      <c r="E29" s="197">
        <f>C12/(C1*4)-C15</f>
        <v>386</v>
      </c>
      <c r="F29" s="197">
        <f>E29/D29</f>
        <v>193</v>
      </c>
      <c r="G29" s="227">
        <f>F29/F31</f>
        <v>2.075268817204301</v>
      </c>
      <c r="H29" s="227">
        <f>FINV(0.05,D29,D31)</f>
        <v>5.143252849827833</v>
      </c>
      <c r="I29" s="227">
        <f>F29/F32</f>
        <v>21.054545454545455</v>
      </c>
      <c r="J29" s="228">
        <f>FINV(0.05,D29,D32)</f>
        <v>3.064760676914652</v>
      </c>
    </row>
    <row r="30" spans="2:10" ht="13.5" customHeight="1">
      <c r="B30" s="186"/>
      <c r="C30" s="229" t="s">
        <v>172</v>
      </c>
      <c r="D30" s="202">
        <v>3</v>
      </c>
      <c r="E30" s="197">
        <f>C13/(C1*3)-C15</f>
        <v>1035</v>
      </c>
      <c r="F30" s="197">
        <f>E30/D30</f>
        <v>345</v>
      </c>
      <c r="G30" s="227">
        <f>F30/F32</f>
        <v>37.63636363636364</v>
      </c>
      <c r="H30" s="227">
        <f>FINV(0.05,D30,D32)</f>
        <v>2.673217840302181</v>
      </c>
      <c r="I30" s="227">
        <f>G30</f>
        <v>37.63636363636364</v>
      </c>
      <c r="J30" s="228">
        <f>H30</f>
        <v>2.673217840302181</v>
      </c>
    </row>
    <row r="31" spans="2:10" ht="13.5" customHeight="1">
      <c r="B31" s="186"/>
      <c r="C31" s="229" t="s">
        <v>18</v>
      </c>
      <c r="D31" s="202">
        <f>D29*D30</f>
        <v>6</v>
      </c>
      <c r="E31" s="197">
        <f>E28-E29-E30</f>
        <v>558</v>
      </c>
      <c r="F31" s="197">
        <f>E31/D31</f>
        <v>93</v>
      </c>
      <c r="G31" s="227">
        <f>F31/F32</f>
        <v>10.145454545454546</v>
      </c>
      <c r="H31" s="227">
        <f>FINV(0.05,D31,D32)</f>
        <v>2.1679526951271484</v>
      </c>
      <c r="I31" s="227">
        <f>G31</f>
        <v>10.145454545454546</v>
      </c>
      <c r="J31" s="228">
        <f>H31</f>
        <v>2.1679526951271484</v>
      </c>
    </row>
    <row r="32" spans="2:10" ht="13.5" customHeight="1">
      <c r="B32" s="186"/>
      <c r="C32" s="225" t="s">
        <v>19</v>
      </c>
      <c r="D32" s="189">
        <f>(C1-1)*12</f>
        <v>132</v>
      </c>
      <c r="E32" s="226">
        <f>C16-C11/C1</f>
        <v>1210</v>
      </c>
      <c r="F32" s="226">
        <f>E32/D32</f>
        <v>9.166666666666666</v>
      </c>
      <c r="G32" s="197"/>
      <c r="H32" s="197"/>
      <c r="I32" s="197"/>
      <c r="J32" s="230"/>
    </row>
    <row r="33" spans="2:13" ht="13.5" customHeight="1" thickBot="1">
      <c r="B33" s="186"/>
      <c r="C33" s="231" t="s">
        <v>20</v>
      </c>
      <c r="D33" s="232">
        <f>D28+D32</f>
        <v>143</v>
      </c>
      <c r="E33" s="233">
        <f>E28+E32</f>
        <v>3189</v>
      </c>
      <c r="F33" s="234"/>
      <c r="G33" s="234"/>
      <c r="H33" s="234"/>
      <c r="I33" s="234"/>
      <c r="J33" s="235"/>
      <c r="K33" s="205"/>
      <c r="L33" s="205"/>
      <c r="M33" s="205"/>
    </row>
    <row r="34" spans="2:13" ht="13.5" customHeight="1">
      <c r="B34" s="186"/>
      <c r="C34" s="186"/>
      <c r="D34" s="186"/>
      <c r="E34" s="186"/>
      <c r="F34" s="186"/>
      <c r="G34" s="186"/>
      <c r="H34" s="186"/>
      <c r="I34" s="186"/>
      <c r="J34" s="186"/>
      <c r="K34" s="205"/>
      <c r="L34" s="205"/>
      <c r="M34" s="205"/>
    </row>
    <row r="35" spans="1:13" ht="13.5" customHeight="1">
      <c r="A35" s="200" t="s">
        <v>321</v>
      </c>
      <c r="B35" s="200" t="s">
        <v>216</v>
      </c>
      <c r="C35" s="206">
        <f>SQRT(F31/(4*C1))</f>
        <v>1.3919410907075054</v>
      </c>
      <c r="F35" s="186"/>
      <c r="G35" s="186"/>
      <c r="H35" s="186"/>
      <c r="I35" s="186"/>
      <c r="J35" s="186"/>
      <c r="K35" s="205"/>
      <c r="L35" s="205"/>
      <c r="M35" s="205"/>
    </row>
    <row r="36" spans="1:13" ht="13.5" customHeight="1" thickBot="1">
      <c r="A36" s="200"/>
      <c r="B36" s="200" t="s">
        <v>21</v>
      </c>
      <c r="C36" s="206">
        <f>TINV(0.05,D31)</f>
        <v>2.4469118464326822</v>
      </c>
      <c r="F36" s="186"/>
      <c r="G36" s="186"/>
      <c r="H36" s="186"/>
      <c r="I36" s="186"/>
      <c r="J36" s="186"/>
      <c r="K36" s="205"/>
      <c r="L36" s="205"/>
      <c r="M36" s="205"/>
    </row>
    <row r="37" spans="1:13" ht="13.5" customHeight="1" thickBot="1">
      <c r="A37" s="200"/>
      <c r="B37" s="236" t="s">
        <v>22</v>
      </c>
      <c r="C37" s="237">
        <f>C35*C36</f>
        <v>3.4059571443886236</v>
      </c>
      <c r="D37" s="200"/>
      <c r="F37" s="186"/>
      <c r="G37" s="186"/>
      <c r="H37" s="186"/>
      <c r="I37" s="186"/>
      <c r="J37" s="186"/>
      <c r="K37" s="205"/>
      <c r="L37" s="205"/>
      <c r="M37" s="205"/>
    </row>
    <row r="38" spans="1:13" ht="13.5" customHeight="1">
      <c r="A38" s="200"/>
      <c r="D38" s="200"/>
      <c r="F38" s="186"/>
      <c r="G38" s="186"/>
      <c r="H38" s="186"/>
      <c r="I38" s="186"/>
      <c r="J38" s="186"/>
      <c r="K38" s="205"/>
      <c r="L38" s="205"/>
      <c r="M38" s="205"/>
    </row>
    <row r="39" spans="1:13" ht="13.5" customHeight="1">
      <c r="A39" s="200"/>
      <c r="B39" s="200"/>
      <c r="C39" s="200"/>
      <c r="D39" s="200"/>
      <c r="F39" s="186"/>
      <c r="G39" s="186"/>
      <c r="H39" s="186"/>
      <c r="I39" s="186"/>
      <c r="J39" s="186"/>
      <c r="K39" s="205"/>
      <c r="L39" s="205"/>
      <c r="M39" s="205"/>
    </row>
    <row r="40" spans="1:10" ht="13.5" customHeight="1">
      <c r="A40" s="200" t="s">
        <v>61</v>
      </c>
      <c r="B40" s="200" t="s">
        <v>23</v>
      </c>
      <c r="C40" s="206">
        <f>C17-SUMSQ(C5:E5)/C1</f>
        <v>156</v>
      </c>
      <c r="D40" s="200"/>
      <c r="F40" s="186"/>
      <c r="G40" s="186"/>
      <c r="H40" s="186"/>
      <c r="I40" s="186"/>
      <c r="J40" s="186"/>
    </row>
    <row r="41" spans="2:12" ht="13.5" customHeight="1">
      <c r="B41" s="200" t="s">
        <v>24</v>
      </c>
      <c r="C41" s="206">
        <f>C40/((C1-1)*3)</f>
        <v>4.7272727272727275</v>
      </c>
      <c r="D41" s="200"/>
      <c r="F41" s="186"/>
      <c r="G41" s="186"/>
      <c r="H41" s="186"/>
      <c r="I41" s="186"/>
      <c r="J41" s="186"/>
      <c r="K41" s="205"/>
      <c r="L41" s="205"/>
    </row>
    <row r="42" spans="2:12" ht="13.5" customHeight="1">
      <c r="B42" s="187" t="s">
        <v>216</v>
      </c>
      <c r="C42" s="205">
        <f>SQRT(C41/C1)</f>
        <v>0.6276459144608478</v>
      </c>
      <c r="D42" s="200"/>
      <c r="F42" s="186"/>
      <c r="G42" s="186"/>
      <c r="H42" s="186"/>
      <c r="I42" s="186"/>
      <c r="J42" s="186"/>
      <c r="K42" s="205"/>
      <c r="L42" s="205"/>
    </row>
    <row r="43" spans="2:12" ht="13.5" customHeight="1" thickBot="1">
      <c r="B43" s="200" t="s">
        <v>21</v>
      </c>
      <c r="C43" s="206">
        <f>TINV(0.05,(C1-1)*3)</f>
        <v>2.034515287221409</v>
      </c>
      <c r="I43" s="205"/>
      <c r="J43" s="205"/>
      <c r="K43" s="205"/>
      <c r="L43" s="205"/>
    </row>
    <row r="44" spans="2:12" ht="13.5" customHeight="1" thickBot="1">
      <c r="B44" s="238" t="s">
        <v>22</v>
      </c>
      <c r="C44" s="237">
        <f>C42*C43</f>
        <v>1.2769552079326558</v>
      </c>
      <c r="D44" s="207"/>
      <c r="I44" s="205"/>
      <c r="J44" s="205"/>
      <c r="K44" s="205"/>
      <c r="L44" s="205"/>
    </row>
    <row r="45" spans="4:12" ht="13.5" customHeight="1">
      <c r="D45" s="191"/>
      <c r="I45" s="205"/>
      <c r="J45" s="205"/>
      <c r="K45" s="205"/>
      <c r="L45" s="205"/>
    </row>
    <row r="46" spans="4:12" ht="13.5" customHeight="1">
      <c r="D46" s="207"/>
      <c r="I46" s="205"/>
      <c r="J46" s="205"/>
      <c r="K46" s="205"/>
      <c r="L46" s="205"/>
    </row>
    <row r="47" spans="1:3" ht="13.5" customHeight="1">
      <c r="A47" s="208" t="s">
        <v>303</v>
      </c>
      <c r="B47" s="191" t="s">
        <v>288</v>
      </c>
      <c r="C47" s="205"/>
    </row>
    <row r="48" ht="13.5" customHeight="1">
      <c r="C48" s="205"/>
    </row>
    <row r="49" spans="2:5" ht="13.5" customHeight="1">
      <c r="B49" s="195" t="s">
        <v>289</v>
      </c>
      <c r="C49" s="195" t="s">
        <v>115</v>
      </c>
      <c r="D49" s="195" t="s">
        <v>116</v>
      </c>
      <c r="E49" s="194"/>
    </row>
    <row r="50" spans="2:4" ht="13.5" customHeight="1">
      <c r="B50" s="190"/>
      <c r="C50" s="190">
        <v>1</v>
      </c>
      <c r="D50" s="190">
        <v>1</v>
      </c>
    </row>
    <row r="51" spans="2:5" ht="13.5" customHeight="1">
      <c r="B51" s="190">
        <v>1</v>
      </c>
      <c r="C51" s="190">
        <v>2</v>
      </c>
      <c r="D51" s="190">
        <v>2</v>
      </c>
      <c r="E51" s="203">
        <f>AVERAGE(C50:D52)</f>
        <v>2</v>
      </c>
    </row>
    <row r="52" spans="2:4" ht="13.5" customHeight="1">
      <c r="B52" s="190"/>
      <c r="C52" s="190">
        <v>3</v>
      </c>
      <c r="D52" s="190">
        <v>3</v>
      </c>
    </row>
    <row r="53" spans="2:4" ht="13.5" customHeight="1">
      <c r="B53" s="190"/>
      <c r="C53" s="190"/>
      <c r="D53" s="190"/>
    </row>
    <row r="54" spans="2:4" ht="13.5" customHeight="1">
      <c r="B54" s="190"/>
      <c r="C54" s="190">
        <v>2</v>
      </c>
      <c r="D54" s="190">
        <v>5</v>
      </c>
    </row>
    <row r="55" spans="2:8" ht="13.5" customHeight="1">
      <c r="B55" s="190">
        <v>2</v>
      </c>
      <c r="C55" s="190">
        <v>3</v>
      </c>
      <c r="D55" s="190">
        <v>6</v>
      </c>
      <c r="E55" s="203">
        <f>AVERAGE(C54:D56)</f>
        <v>4.5</v>
      </c>
      <c r="H55" s="189"/>
    </row>
    <row r="56" spans="2:8" ht="13.5" customHeight="1">
      <c r="B56" s="190"/>
      <c r="C56" s="190">
        <v>4</v>
      </c>
      <c r="D56" s="190">
        <v>7</v>
      </c>
      <c r="H56" s="203"/>
    </row>
    <row r="57" spans="2:4" ht="13.5" customHeight="1">
      <c r="B57" s="190"/>
      <c r="C57" s="190"/>
      <c r="D57" s="190"/>
    </row>
    <row r="58" spans="2:4" ht="13.5" customHeight="1">
      <c r="B58" s="190"/>
      <c r="C58" s="190">
        <v>5</v>
      </c>
      <c r="D58" s="190">
        <v>2</v>
      </c>
    </row>
    <row r="59" spans="2:5" ht="13.5" customHeight="1">
      <c r="B59" s="190">
        <v>3</v>
      </c>
      <c r="C59" s="190">
        <v>6</v>
      </c>
      <c r="D59" s="190">
        <v>3</v>
      </c>
      <c r="E59" s="203">
        <f>AVERAGE(C58:D60)</f>
        <v>4.5</v>
      </c>
    </row>
    <row r="60" spans="2:8" ht="13.5" customHeight="1">
      <c r="B60" s="190"/>
      <c r="C60" s="190">
        <v>7</v>
      </c>
      <c r="D60" s="190">
        <v>4</v>
      </c>
      <c r="H60" s="189"/>
    </row>
    <row r="61" spans="2:8" ht="13.5" customHeight="1">
      <c r="B61" s="195"/>
      <c r="C61" s="195"/>
      <c r="D61" s="195"/>
      <c r="E61" s="194"/>
      <c r="G61" s="189"/>
      <c r="H61" s="189"/>
    </row>
    <row r="62" spans="2:8" ht="13.5" customHeight="1">
      <c r="B62" s="190"/>
      <c r="C62" s="204">
        <f>AVERAGE(C50:C61)</f>
        <v>3.6666666666666665</v>
      </c>
      <c r="D62" s="204">
        <f>AVERAGE(D50:D61)</f>
        <v>3.6666666666666665</v>
      </c>
      <c r="G62" s="189"/>
      <c r="H62" s="189"/>
    </row>
    <row r="63" spans="2:8" ht="13.5" customHeight="1">
      <c r="B63" s="189"/>
      <c r="C63" s="203"/>
      <c r="D63" s="203"/>
      <c r="G63" s="189"/>
      <c r="H63" s="189"/>
    </row>
    <row r="64" spans="2:8" ht="13.5" customHeight="1">
      <c r="B64" s="189"/>
      <c r="C64" s="203"/>
      <c r="D64" s="203"/>
      <c r="G64" s="189"/>
      <c r="H64" s="189"/>
    </row>
    <row r="65" spans="1:9" ht="13.5" customHeight="1">
      <c r="A65" s="208" t="s">
        <v>305</v>
      </c>
      <c r="D65" s="209"/>
      <c r="E65" s="210"/>
      <c r="F65" s="207"/>
      <c r="G65" s="189"/>
      <c r="H65" s="189"/>
      <c r="I65" s="215" t="s">
        <v>139</v>
      </c>
    </row>
    <row r="66" spans="5:13" ht="13.5" customHeight="1">
      <c r="E66" s="210"/>
      <c r="G66" s="189"/>
      <c r="H66" s="189"/>
      <c r="I66" s="205" t="s">
        <v>117</v>
      </c>
      <c r="J66" s="207">
        <v>0</v>
      </c>
      <c r="K66" s="210"/>
      <c r="L66" s="191"/>
      <c r="M66" s="189"/>
    </row>
    <row r="67" spans="5:13" ht="13.5" customHeight="1">
      <c r="E67" s="210"/>
      <c r="G67" s="189"/>
      <c r="H67" s="189"/>
      <c r="I67" s="205" t="s">
        <v>118</v>
      </c>
      <c r="J67" s="207">
        <v>2.5</v>
      </c>
      <c r="K67" s="210"/>
      <c r="L67" s="191"/>
      <c r="M67" s="189"/>
    </row>
    <row r="68" spans="3:13" ht="13.5" customHeight="1">
      <c r="C68" s="215" t="s">
        <v>136</v>
      </c>
      <c r="E68" s="210"/>
      <c r="G68" s="189"/>
      <c r="H68" s="189"/>
      <c r="I68" s="187" t="s">
        <v>121</v>
      </c>
      <c r="J68" s="207">
        <v>3</v>
      </c>
      <c r="K68" s="210"/>
      <c r="L68" s="191"/>
      <c r="M68" s="189"/>
    </row>
    <row r="69" spans="5:13" ht="13.5" customHeight="1">
      <c r="E69" s="210"/>
      <c r="G69" s="189"/>
      <c r="H69" s="189"/>
      <c r="I69" s="187" t="s">
        <v>39</v>
      </c>
      <c r="J69" s="191">
        <f>COUNT(C71:C93)</f>
        <v>23</v>
      </c>
      <c r="K69" s="210"/>
      <c r="L69" s="191"/>
      <c r="M69" s="189"/>
    </row>
    <row r="70" spans="3:13" ht="13.5" customHeight="1">
      <c r="C70" s="211" t="s">
        <v>119</v>
      </c>
      <c r="E70" s="211" t="s">
        <v>120</v>
      </c>
      <c r="G70" s="194" t="s">
        <v>130</v>
      </c>
      <c r="H70" s="189"/>
      <c r="I70" s="211" t="s">
        <v>119</v>
      </c>
      <c r="J70" s="211" t="s">
        <v>120</v>
      </c>
      <c r="L70" s="191"/>
      <c r="M70" s="189"/>
    </row>
    <row r="71" spans="3:13" ht="13.5" customHeight="1">
      <c r="C71" s="212">
        <v>67</v>
      </c>
      <c r="E71" s="187">
        <v>171</v>
      </c>
      <c r="G71" s="189">
        <f>C71*E71</f>
        <v>11457</v>
      </c>
      <c r="H71" s="189"/>
      <c r="I71" s="189">
        <f ca="1">ROUND(NORMSINV(RAND())*2+70,0)</f>
        <v>70</v>
      </c>
      <c r="J71" s="189">
        <f ca="1">ROUND(I71*$J$67+$J$66+NORMSINV(RAND())*$J$68,0)</f>
        <v>171</v>
      </c>
      <c r="L71" s="191"/>
      <c r="M71" s="189"/>
    </row>
    <row r="72" spans="3:13" ht="13.5" customHeight="1">
      <c r="C72" s="212">
        <v>65</v>
      </c>
      <c r="E72" s="187">
        <v>163</v>
      </c>
      <c r="G72" s="189">
        <f aca="true" t="shared" si="1" ref="G72:G93">C72*E72</f>
        <v>10595</v>
      </c>
      <c r="H72" s="189"/>
      <c r="I72" s="189">
        <f aca="true" ca="1" t="shared" si="2" ref="I72:I93">ROUND(NORMSINV(RAND())*2+70,0)</f>
        <v>68</v>
      </c>
      <c r="J72" s="189">
        <f aca="true" ca="1" t="shared" si="3" ref="J72:J93">ROUND(I72*$J$67+$J$66+NORMSINV(RAND())*$J$68,0)</f>
        <v>173</v>
      </c>
      <c r="L72" s="191"/>
      <c r="M72" s="189"/>
    </row>
    <row r="73" spans="3:13" ht="13.5" customHeight="1">
      <c r="C73" s="212">
        <v>66</v>
      </c>
      <c r="E73" s="187">
        <v>166</v>
      </c>
      <c r="G73" s="189">
        <f t="shared" si="1"/>
        <v>10956</v>
      </c>
      <c r="H73" s="189"/>
      <c r="I73" s="189">
        <f ca="1" t="shared" si="2"/>
        <v>72</v>
      </c>
      <c r="J73" s="189">
        <f ca="1" t="shared" si="3"/>
        <v>180</v>
      </c>
      <c r="L73" s="191"/>
      <c r="M73" s="189"/>
    </row>
    <row r="74" spans="2:13" ht="13.5" customHeight="1">
      <c r="B74" s="213"/>
      <c r="C74" s="212">
        <v>70</v>
      </c>
      <c r="E74" s="187">
        <v>173</v>
      </c>
      <c r="G74" s="189">
        <f t="shared" si="1"/>
        <v>12110</v>
      </c>
      <c r="I74" s="189">
        <f ca="1" t="shared" si="2"/>
        <v>72</v>
      </c>
      <c r="J74" s="189">
        <f ca="1" t="shared" si="3"/>
        <v>183</v>
      </c>
      <c r="L74" s="191"/>
      <c r="M74" s="189"/>
    </row>
    <row r="75" spans="3:13" ht="13.5" customHeight="1">
      <c r="C75" s="212">
        <v>71</v>
      </c>
      <c r="E75" s="187">
        <v>174</v>
      </c>
      <c r="G75" s="189">
        <f t="shared" si="1"/>
        <v>12354</v>
      </c>
      <c r="I75" s="189">
        <f ca="1" t="shared" si="2"/>
        <v>71</v>
      </c>
      <c r="J75" s="189">
        <f ca="1" t="shared" si="3"/>
        <v>172</v>
      </c>
      <c r="L75" s="191"/>
      <c r="M75" s="189"/>
    </row>
    <row r="76" spans="3:13" ht="13.5" customHeight="1">
      <c r="C76" s="212">
        <v>72</v>
      </c>
      <c r="E76" s="187">
        <v>180</v>
      </c>
      <c r="G76" s="189">
        <f t="shared" si="1"/>
        <v>12960</v>
      </c>
      <c r="I76" s="189">
        <f ca="1" t="shared" si="2"/>
        <v>72</v>
      </c>
      <c r="J76" s="189">
        <f ca="1" t="shared" si="3"/>
        <v>180</v>
      </c>
      <c r="L76" s="191"/>
      <c r="M76" s="189"/>
    </row>
    <row r="77" spans="3:13" ht="13.5" customHeight="1">
      <c r="C77" s="212">
        <v>67</v>
      </c>
      <c r="E77" s="187">
        <v>173</v>
      </c>
      <c r="G77" s="189">
        <f t="shared" si="1"/>
        <v>11591</v>
      </c>
      <c r="I77" s="189">
        <f ca="1" t="shared" si="2"/>
        <v>70</v>
      </c>
      <c r="J77" s="189">
        <f ca="1" t="shared" si="3"/>
        <v>171</v>
      </c>
      <c r="L77" s="191"/>
      <c r="M77" s="189"/>
    </row>
    <row r="78" spans="2:13" ht="13.5" customHeight="1">
      <c r="B78" s="208"/>
      <c r="C78" s="212">
        <v>73</v>
      </c>
      <c r="E78" s="187">
        <v>183</v>
      </c>
      <c r="G78" s="189">
        <f t="shared" si="1"/>
        <v>13359</v>
      </c>
      <c r="I78" s="189">
        <f ca="1" t="shared" si="2"/>
        <v>74</v>
      </c>
      <c r="J78" s="189">
        <f ca="1" t="shared" si="3"/>
        <v>190</v>
      </c>
      <c r="L78" s="191"/>
      <c r="M78" s="189"/>
    </row>
    <row r="79" spans="3:13" ht="13.5" customHeight="1">
      <c r="C79" s="212">
        <v>72</v>
      </c>
      <c r="E79" s="187">
        <v>184</v>
      </c>
      <c r="G79" s="189">
        <f t="shared" si="1"/>
        <v>13248</v>
      </c>
      <c r="I79" s="189">
        <f ca="1" t="shared" si="2"/>
        <v>72</v>
      </c>
      <c r="J79" s="189">
        <f ca="1" t="shared" si="3"/>
        <v>180</v>
      </c>
      <c r="L79" s="191"/>
      <c r="M79" s="189"/>
    </row>
    <row r="80" spans="3:13" ht="13.5" customHeight="1">
      <c r="C80" s="212">
        <v>68</v>
      </c>
      <c r="E80" s="187">
        <v>171</v>
      </c>
      <c r="G80" s="189">
        <f t="shared" si="1"/>
        <v>11628</v>
      </c>
      <c r="I80" s="189">
        <f ca="1" t="shared" si="2"/>
        <v>70</v>
      </c>
      <c r="J80" s="189">
        <f ca="1" t="shared" si="3"/>
        <v>178</v>
      </c>
      <c r="L80" s="191"/>
      <c r="M80" s="189"/>
    </row>
    <row r="81" spans="3:13" ht="13.5" customHeight="1">
      <c r="C81" s="212">
        <v>70</v>
      </c>
      <c r="E81" s="187">
        <v>172</v>
      </c>
      <c r="G81" s="189">
        <f t="shared" si="1"/>
        <v>12040</v>
      </c>
      <c r="I81" s="189">
        <f ca="1" t="shared" si="2"/>
        <v>70</v>
      </c>
      <c r="J81" s="189">
        <f ca="1" t="shared" si="3"/>
        <v>173</v>
      </c>
      <c r="L81" s="191"/>
      <c r="M81" s="189"/>
    </row>
    <row r="82" spans="3:13" ht="13.5" customHeight="1">
      <c r="C82" s="212">
        <v>74</v>
      </c>
      <c r="E82" s="187">
        <v>178</v>
      </c>
      <c r="G82" s="189">
        <f t="shared" si="1"/>
        <v>13172</v>
      </c>
      <c r="I82" s="189">
        <f ca="1" t="shared" si="2"/>
        <v>70</v>
      </c>
      <c r="J82" s="189">
        <f ca="1" t="shared" si="3"/>
        <v>171</v>
      </c>
      <c r="L82" s="191"/>
      <c r="M82" s="189"/>
    </row>
    <row r="83" spans="3:13" ht="13.5" customHeight="1">
      <c r="C83" s="212">
        <v>68</v>
      </c>
      <c r="E83" s="187">
        <v>173</v>
      </c>
      <c r="G83" s="189">
        <f t="shared" si="1"/>
        <v>11764</v>
      </c>
      <c r="I83" s="189">
        <f ca="1" t="shared" si="2"/>
        <v>72</v>
      </c>
      <c r="J83" s="189">
        <f ca="1" t="shared" si="3"/>
        <v>180</v>
      </c>
      <c r="L83" s="191"/>
      <c r="M83" s="189"/>
    </row>
    <row r="84" spans="3:13" ht="13.5" customHeight="1">
      <c r="C84" s="212">
        <v>70</v>
      </c>
      <c r="E84" s="187">
        <v>178</v>
      </c>
      <c r="G84" s="189">
        <f t="shared" si="1"/>
        <v>12460</v>
      </c>
      <c r="I84" s="189">
        <f ca="1" t="shared" si="2"/>
        <v>75</v>
      </c>
      <c r="J84" s="189">
        <f ca="1" t="shared" si="3"/>
        <v>184</v>
      </c>
      <c r="L84" s="191"/>
      <c r="M84" s="189"/>
    </row>
    <row r="85" spans="3:13" ht="13.5" customHeight="1">
      <c r="C85" s="212">
        <v>70</v>
      </c>
      <c r="E85" s="187">
        <v>179</v>
      </c>
      <c r="G85" s="189">
        <f t="shared" si="1"/>
        <v>12530</v>
      </c>
      <c r="I85" s="189">
        <f ca="1" t="shared" si="2"/>
        <v>69</v>
      </c>
      <c r="J85" s="189">
        <f ca="1" t="shared" si="3"/>
        <v>171</v>
      </c>
      <c r="L85" s="191"/>
      <c r="M85" s="189"/>
    </row>
    <row r="86" spans="3:13" ht="13.5" customHeight="1">
      <c r="C86" s="212">
        <v>71</v>
      </c>
      <c r="E86" s="187">
        <v>177</v>
      </c>
      <c r="G86" s="189">
        <f t="shared" si="1"/>
        <v>12567</v>
      </c>
      <c r="I86" s="189">
        <f ca="1" t="shared" si="2"/>
        <v>74</v>
      </c>
      <c r="J86" s="189">
        <f ca="1" t="shared" si="3"/>
        <v>182</v>
      </c>
      <c r="L86" s="191"/>
      <c r="M86" s="189"/>
    </row>
    <row r="87" spans="3:13" ht="13.5" customHeight="1">
      <c r="C87" s="212">
        <v>68</v>
      </c>
      <c r="E87" s="187">
        <v>171</v>
      </c>
      <c r="G87" s="189">
        <f t="shared" si="1"/>
        <v>11628</v>
      </c>
      <c r="I87" s="189">
        <f ca="1" t="shared" si="2"/>
        <v>70</v>
      </c>
      <c r="J87" s="189">
        <f ca="1" t="shared" si="3"/>
        <v>174</v>
      </c>
      <c r="L87" s="191"/>
      <c r="M87" s="189"/>
    </row>
    <row r="88" spans="3:13" ht="13.5" customHeight="1">
      <c r="C88" s="212">
        <v>67</v>
      </c>
      <c r="E88" s="187">
        <v>163</v>
      </c>
      <c r="G88" s="189">
        <f t="shared" si="1"/>
        <v>10921</v>
      </c>
      <c r="I88" s="189">
        <f ca="1" t="shared" si="2"/>
        <v>70</v>
      </c>
      <c r="J88" s="189">
        <f ca="1" t="shared" si="3"/>
        <v>179</v>
      </c>
      <c r="L88" s="191"/>
      <c r="M88" s="189"/>
    </row>
    <row r="89" spans="2:13" ht="13.5" customHeight="1">
      <c r="B89" s="205"/>
      <c r="C89" s="212">
        <v>69</v>
      </c>
      <c r="E89" s="187">
        <v>174</v>
      </c>
      <c r="G89" s="189">
        <f t="shared" si="1"/>
        <v>12006</v>
      </c>
      <c r="I89" s="189">
        <f ca="1" t="shared" si="2"/>
        <v>70</v>
      </c>
      <c r="J89" s="189">
        <f ca="1" t="shared" si="3"/>
        <v>173</v>
      </c>
      <c r="L89" s="191"/>
      <c r="M89" s="189"/>
    </row>
    <row r="90" spans="3:13" ht="13.5" customHeight="1">
      <c r="C90" s="212">
        <v>70</v>
      </c>
      <c r="E90" s="187">
        <v>177</v>
      </c>
      <c r="G90" s="189">
        <f t="shared" si="1"/>
        <v>12390</v>
      </c>
      <c r="I90" s="189">
        <f ca="1" t="shared" si="2"/>
        <v>74</v>
      </c>
      <c r="J90" s="189">
        <f ca="1" t="shared" si="3"/>
        <v>191</v>
      </c>
      <c r="L90" s="191"/>
      <c r="M90" s="189"/>
    </row>
    <row r="91" spans="3:13" ht="13.5" customHeight="1">
      <c r="C91" s="212">
        <v>69</v>
      </c>
      <c r="E91" s="187">
        <v>170</v>
      </c>
      <c r="F91" s="207"/>
      <c r="G91" s="189">
        <f t="shared" si="1"/>
        <v>11730</v>
      </c>
      <c r="I91" s="189">
        <f ca="1" t="shared" si="2"/>
        <v>72</v>
      </c>
      <c r="J91" s="189">
        <f ca="1" t="shared" si="3"/>
        <v>177</v>
      </c>
      <c r="L91" s="207"/>
      <c r="M91" s="189"/>
    </row>
    <row r="92" spans="3:13" ht="13.5" customHeight="1">
      <c r="C92" s="212">
        <v>73</v>
      </c>
      <c r="E92" s="187">
        <v>179</v>
      </c>
      <c r="G92" s="189">
        <f t="shared" si="1"/>
        <v>13067</v>
      </c>
      <c r="I92" s="189">
        <f ca="1" t="shared" si="2"/>
        <v>67</v>
      </c>
      <c r="J92" s="189">
        <f ca="1" t="shared" si="3"/>
        <v>169</v>
      </c>
      <c r="L92" s="191"/>
      <c r="M92" s="189"/>
    </row>
    <row r="93" spans="3:13" ht="13.5" customHeight="1">
      <c r="C93" s="212">
        <v>71</v>
      </c>
      <c r="E93" s="187">
        <v>178</v>
      </c>
      <c r="G93" s="189">
        <f t="shared" si="1"/>
        <v>12638</v>
      </c>
      <c r="H93" s="189"/>
      <c r="I93" s="189">
        <f ca="1" t="shared" si="2"/>
        <v>70</v>
      </c>
      <c r="J93" s="189">
        <f ca="1" t="shared" si="3"/>
        <v>174</v>
      </c>
      <c r="L93" s="191"/>
      <c r="M93" s="189"/>
    </row>
    <row r="94" spans="2:10" ht="13.5" customHeight="1">
      <c r="B94" s="189"/>
      <c r="C94" s="205"/>
      <c r="D94" s="207"/>
      <c r="E94" s="203"/>
      <c r="F94" s="207"/>
      <c r="G94" s="189"/>
      <c r="H94" s="189"/>
      <c r="I94" s="189"/>
      <c r="J94" s="189"/>
    </row>
    <row r="95" spans="2:10" ht="13.5" customHeight="1">
      <c r="B95" s="187" t="s">
        <v>122</v>
      </c>
      <c r="C95" s="191">
        <f>SUM(C71:C93)</f>
        <v>1601</v>
      </c>
      <c r="D95" s="187" t="s">
        <v>127</v>
      </c>
      <c r="E95" s="191">
        <f>SUM(E71:E93)</f>
        <v>4007</v>
      </c>
      <c r="F95" s="187"/>
      <c r="G95" s="191"/>
      <c r="H95" s="189"/>
      <c r="I95" s="189"/>
      <c r="J95" s="189"/>
    </row>
    <row r="96" spans="2:10" ht="13.5" customHeight="1">
      <c r="B96" s="187" t="s">
        <v>123</v>
      </c>
      <c r="C96" s="191">
        <f>SUMSQ(C71:C93)</f>
        <v>111567</v>
      </c>
      <c r="D96" s="187" t="s">
        <v>125</v>
      </c>
      <c r="E96" s="191">
        <f>SUMSQ(E71:E93)</f>
        <v>698777</v>
      </c>
      <c r="F96" s="187" t="s">
        <v>128</v>
      </c>
      <c r="G96" s="191">
        <f>SUM(G71:G93)</f>
        <v>279171</v>
      </c>
      <c r="H96" s="189"/>
      <c r="I96" s="203">
        <f>SLOPE(J71:J93,I71:I93)</f>
        <v>2.6080000000000005</v>
      </c>
      <c r="J96" s="189"/>
    </row>
    <row r="97" spans="2:10" ht="13.5" customHeight="1">
      <c r="B97" s="187" t="s">
        <v>124</v>
      </c>
      <c r="C97" s="191">
        <f>$J$69*C96</f>
        <v>2566041</v>
      </c>
      <c r="D97" s="187" t="s">
        <v>126</v>
      </c>
      <c r="E97" s="191">
        <f>$J$69*E96</f>
        <v>16071871</v>
      </c>
      <c r="F97" s="187" t="s">
        <v>129</v>
      </c>
      <c r="G97" s="191">
        <f>$J$69*G96</f>
        <v>6420933</v>
      </c>
      <c r="H97" s="189"/>
      <c r="I97" s="203">
        <f>INTERCEPT(J71:J93,I71:I93)</f>
        <v>-8.06400000000005</v>
      </c>
      <c r="J97" s="189"/>
    </row>
    <row r="98" spans="2:10" ht="13.5" customHeight="1">
      <c r="B98" s="187" t="s">
        <v>131</v>
      </c>
      <c r="C98" s="191">
        <f>C95^2</f>
        <v>2563201</v>
      </c>
      <c r="D98" s="187" t="s">
        <v>132</v>
      </c>
      <c r="E98" s="191">
        <f>E95^2</f>
        <v>16056049</v>
      </c>
      <c r="F98" s="187" t="s">
        <v>133</v>
      </c>
      <c r="G98" s="191">
        <f>C95*E95</f>
        <v>6415207</v>
      </c>
      <c r="H98" s="189"/>
      <c r="I98" s="189"/>
      <c r="J98" s="189"/>
    </row>
    <row r="99" spans="2:10" ht="13.5" customHeight="1">
      <c r="B99" s="187" t="s">
        <v>137</v>
      </c>
      <c r="C99" s="214">
        <f>C95/$J$69</f>
        <v>69.6086956521739</v>
      </c>
      <c r="D99" s="187" t="s">
        <v>138</v>
      </c>
      <c r="E99" s="214">
        <f>E95/$J$69</f>
        <v>174.2173913043478</v>
      </c>
      <c r="F99" s="205"/>
      <c r="G99" s="191"/>
      <c r="H99" s="189"/>
      <c r="I99" s="189"/>
      <c r="J99" s="189"/>
    </row>
    <row r="100" spans="3:10" ht="13.5" customHeight="1" thickBot="1">
      <c r="C100" s="189"/>
      <c r="D100" s="189"/>
      <c r="G100" s="189"/>
      <c r="H100" s="189"/>
      <c r="I100" s="189"/>
      <c r="J100" s="189"/>
    </row>
    <row r="101" spans="1:10" ht="13.5" customHeight="1">
      <c r="A101" s="187" t="s">
        <v>317</v>
      </c>
      <c r="B101" s="239" t="s">
        <v>118</v>
      </c>
      <c r="C101" s="240">
        <f>(G97-G98)/(C97-C98)</f>
        <v>2.0161971830985914</v>
      </c>
      <c r="D101" s="203"/>
      <c r="E101" s="203"/>
      <c r="F101" s="207"/>
      <c r="G101" s="189"/>
      <c r="H101" s="189"/>
      <c r="I101" s="189"/>
      <c r="J101" s="189"/>
    </row>
    <row r="102" spans="2:10" ht="13.5" customHeight="1" thickBot="1">
      <c r="B102" s="241" t="s">
        <v>117</v>
      </c>
      <c r="C102" s="242">
        <f>(E95-C101*C95)/J69</f>
        <v>33.872535211267625</v>
      </c>
      <c r="D102" s="203"/>
      <c r="E102" s="203"/>
      <c r="F102" s="207"/>
      <c r="G102" s="189"/>
      <c r="H102" s="189"/>
      <c r="I102" s="189"/>
      <c r="J102" s="189"/>
    </row>
    <row r="103" spans="2:10" ht="13.5" customHeight="1" thickBot="1">
      <c r="B103" s="189"/>
      <c r="C103" s="203"/>
      <c r="D103" s="203"/>
      <c r="E103" s="203"/>
      <c r="F103" s="207"/>
      <c r="G103" s="189"/>
      <c r="H103" s="189"/>
      <c r="I103" s="189"/>
      <c r="J103" s="189"/>
    </row>
    <row r="104" spans="1:10" ht="13.5" customHeight="1">
      <c r="A104" s="187" t="s">
        <v>318</v>
      </c>
      <c r="B104" s="239" t="s">
        <v>134</v>
      </c>
      <c r="C104" s="240">
        <f>(G97-G98)^2/((C97-C98)*(E97-E98))</f>
        <v>0.7296640797890618</v>
      </c>
      <c r="D104" s="203"/>
      <c r="E104" s="203"/>
      <c r="F104" s="207"/>
      <c r="G104" s="189"/>
      <c r="H104" s="189"/>
      <c r="I104" s="189"/>
      <c r="J104" s="189"/>
    </row>
    <row r="105" spans="2:10" ht="13.5" customHeight="1" thickBot="1">
      <c r="B105" s="243" t="s">
        <v>135</v>
      </c>
      <c r="C105" s="242">
        <f>SQRT(C104)</f>
        <v>0.8542037694772026</v>
      </c>
      <c r="D105" s="203"/>
      <c r="E105" s="203"/>
      <c r="F105" s="207"/>
      <c r="G105" s="189"/>
      <c r="H105" s="189"/>
      <c r="I105" s="189"/>
      <c r="J105" s="189"/>
    </row>
    <row r="106" spans="3:10" ht="13.5" customHeight="1">
      <c r="C106" s="205"/>
      <c r="D106" s="203"/>
      <c r="E106" s="203"/>
      <c r="F106" s="207"/>
      <c r="G106" s="189"/>
      <c r="H106" s="189"/>
      <c r="I106" s="189"/>
      <c r="J106" s="189"/>
    </row>
    <row r="107" spans="1:10" ht="13.5" customHeight="1" thickBot="1">
      <c r="A107" s="187" t="s">
        <v>319</v>
      </c>
      <c r="B107" s="187" t="s">
        <v>140</v>
      </c>
      <c r="C107" s="207">
        <f>E96/J69-E99^2</f>
        <v>29.909262759927515</v>
      </c>
      <c r="D107" s="203"/>
      <c r="G107" s="189"/>
      <c r="H107" s="189"/>
      <c r="I107" s="189"/>
      <c r="J107" s="189"/>
    </row>
    <row r="108" spans="2:10" ht="13.5" customHeight="1" thickBot="1">
      <c r="B108" s="238" t="s">
        <v>141</v>
      </c>
      <c r="C108" s="244">
        <f>C107*C104</f>
        <v>21.823714688891766</v>
      </c>
      <c r="D108" s="191"/>
      <c r="G108" s="189"/>
      <c r="H108" s="189"/>
      <c r="I108" s="189"/>
      <c r="J108" s="189"/>
    </row>
    <row r="109" spans="4:10" ht="13.5" customHeight="1">
      <c r="D109" s="191"/>
      <c r="G109" s="189"/>
      <c r="H109" s="189"/>
      <c r="I109" s="189"/>
      <c r="J109" s="189"/>
    </row>
    <row r="110" spans="4:10" ht="13.5" customHeight="1">
      <c r="D110" s="191"/>
      <c r="G110" s="189"/>
      <c r="H110" s="189"/>
      <c r="I110" s="189"/>
      <c r="J110" s="189"/>
    </row>
    <row r="111" spans="4:10" ht="13.5" customHeight="1">
      <c r="D111" s="191"/>
      <c r="G111" s="189"/>
      <c r="H111" s="189"/>
      <c r="I111" s="189"/>
      <c r="J111" s="189"/>
    </row>
    <row r="112" spans="3:10" ht="13.5" customHeight="1">
      <c r="C112" s="205"/>
      <c r="D112" s="191"/>
      <c r="G112" s="189"/>
      <c r="H112" s="189"/>
      <c r="I112" s="189"/>
      <c r="J112" s="189"/>
    </row>
    <row r="113" spans="3:10" ht="13.5" customHeight="1">
      <c r="C113" s="205"/>
      <c r="D113" s="191"/>
      <c r="E113" s="203"/>
      <c r="G113" s="189"/>
      <c r="H113" s="189"/>
      <c r="I113" s="189"/>
      <c r="J113" s="189"/>
    </row>
    <row r="114" spans="3:10" ht="13.5" customHeight="1">
      <c r="C114" s="205"/>
      <c r="D114" s="191"/>
      <c r="G114" s="189"/>
      <c r="H114" s="189"/>
      <c r="I114" s="189"/>
      <c r="J114" s="189"/>
    </row>
    <row r="115" spans="3:10" ht="13.5" customHeight="1">
      <c r="C115" s="205"/>
      <c r="D115" s="191"/>
      <c r="G115" s="189"/>
      <c r="H115" s="189"/>
      <c r="I115" s="189"/>
      <c r="J115" s="189"/>
    </row>
    <row r="116" spans="3:10" ht="13.5" customHeight="1">
      <c r="C116" s="205"/>
      <c r="D116" s="191"/>
      <c r="G116" s="189"/>
      <c r="H116" s="189"/>
      <c r="I116" s="189"/>
      <c r="J116" s="189"/>
    </row>
    <row r="117" spans="3:10" ht="13.5" customHeight="1">
      <c r="C117" s="205"/>
      <c r="D117" s="191"/>
      <c r="G117" s="189"/>
      <c r="H117" s="189"/>
      <c r="I117" s="189"/>
      <c r="J117" s="189"/>
    </row>
    <row r="118" spans="3:10" ht="13.5" customHeight="1">
      <c r="C118" s="205"/>
      <c r="D118" s="191"/>
      <c r="G118" s="189"/>
      <c r="H118" s="189"/>
      <c r="I118" s="189"/>
      <c r="J118" s="189"/>
    </row>
    <row r="119" spans="3:10" ht="13.5" customHeight="1">
      <c r="C119" s="189"/>
      <c r="D119" s="189"/>
      <c r="G119" s="189"/>
      <c r="H119" s="189"/>
      <c r="I119" s="189"/>
      <c r="J119" s="189"/>
    </row>
    <row r="120" spans="3:10" ht="13.5" customHeight="1">
      <c r="C120" s="205"/>
      <c r="D120" s="191"/>
      <c r="G120" s="189"/>
      <c r="H120" s="189"/>
      <c r="I120" s="189"/>
      <c r="J120" s="189"/>
    </row>
    <row r="121" spans="3:10" ht="13.5" customHeight="1">
      <c r="C121" s="205"/>
      <c r="D121" s="189"/>
      <c r="G121" s="189"/>
      <c r="H121" s="189"/>
      <c r="I121" s="189"/>
      <c r="J121" s="189"/>
    </row>
    <row r="122" spans="3:10" ht="13.5" customHeight="1">
      <c r="C122" s="205"/>
      <c r="D122" s="189"/>
      <c r="G122" s="189"/>
      <c r="H122" s="189"/>
      <c r="I122" s="189"/>
      <c r="J122" s="189"/>
    </row>
    <row r="123" spans="3:10" ht="13.5" customHeight="1">
      <c r="C123" s="189"/>
      <c r="D123" s="189"/>
      <c r="G123" s="189"/>
      <c r="H123" s="189"/>
      <c r="I123" s="189"/>
      <c r="J123" s="189"/>
    </row>
    <row r="124" spans="3:10" ht="13.5" customHeight="1">
      <c r="C124" s="189"/>
      <c r="D124" s="189"/>
      <c r="G124" s="189"/>
      <c r="H124" s="189"/>
      <c r="I124" s="189"/>
      <c r="J124" s="189"/>
    </row>
    <row r="125" spans="3:10" ht="13.5" customHeight="1">
      <c r="C125" s="189"/>
      <c r="D125" s="189"/>
      <c r="G125" s="189"/>
      <c r="H125" s="189"/>
      <c r="I125" s="189"/>
      <c r="J125" s="189"/>
    </row>
    <row r="126" spans="3:10" ht="13.5" customHeight="1">
      <c r="C126" s="189"/>
      <c r="D126" s="189"/>
      <c r="G126" s="189"/>
      <c r="H126" s="189"/>
      <c r="I126" s="189"/>
      <c r="J126" s="189"/>
    </row>
    <row r="127" spans="3:10" ht="13.5" customHeight="1">
      <c r="C127" s="189"/>
      <c r="D127" s="189"/>
      <c r="G127" s="189"/>
      <c r="H127" s="189"/>
      <c r="I127" s="189"/>
      <c r="J127" s="189"/>
    </row>
    <row r="128" spans="3:10" ht="13.5" customHeight="1">
      <c r="C128" s="189"/>
      <c r="D128" s="189"/>
      <c r="G128" s="189"/>
      <c r="H128" s="189"/>
      <c r="I128" s="189"/>
      <c r="J128" s="189"/>
    </row>
    <row r="129" spans="3:10" ht="13.5" customHeight="1">
      <c r="C129" s="189"/>
      <c r="D129" s="189"/>
      <c r="G129" s="189"/>
      <c r="H129" s="189"/>
      <c r="I129" s="189"/>
      <c r="J129" s="189"/>
    </row>
    <row r="130" spans="3:10" ht="13.5" customHeight="1">
      <c r="C130" s="189"/>
      <c r="D130" s="189"/>
      <c r="G130" s="189"/>
      <c r="H130" s="189"/>
      <c r="I130" s="189"/>
      <c r="J130" s="18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zoomScale="125" zoomScaleNormal="125" workbookViewId="0" topLeftCell="A1">
      <selection activeCell="D59" sqref="D59"/>
    </sheetView>
  </sheetViews>
  <sheetFormatPr defaultColWidth="11.00390625" defaultRowHeight="13.5" customHeight="1"/>
  <cols>
    <col min="1" max="1" width="6.125" style="177" customWidth="1"/>
    <col min="2" max="2" width="11.25390625" style="177" customWidth="1"/>
    <col min="3" max="4" width="8.875" style="177" customWidth="1"/>
    <col min="5" max="5" width="8.875" style="246" customWidth="1"/>
    <col min="6" max="6" width="8.875" style="181" customWidth="1"/>
    <col min="7" max="8" width="8.875" style="177" customWidth="1"/>
    <col min="9" max="10" width="8.75390625" style="177" customWidth="1"/>
    <col min="11" max="16384" width="10.75390625" style="177" customWidth="1"/>
  </cols>
  <sheetData>
    <row r="1" spans="1:10" ht="13.5" customHeight="1">
      <c r="A1" s="181">
        <v>1</v>
      </c>
      <c r="B1" s="262" t="s">
        <v>68</v>
      </c>
      <c r="C1" s="181"/>
      <c r="D1" s="262" t="s">
        <v>181</v>
      </c>
      <c r="E1" s="181"/>
      <c r="F1" s="248"/>
      <c r="G1" s="248"/>
      <c r="H1" s="248"/>
      <c r="I1" s="248"/>
      <c r="J1" s="248"/>
    </row>
    <row r="2" spans="1:10" ht="13.5" customHeight="1">
      <c r="A2" s="181"/>
      <c r="B2" s="252" t="s">
        <v>182</v>
      </c>
      <c r="C2" s="181">
        <v>250</v>
      </c>
      <c r="D2" s="252" t="s">
        <v>182</v>
      </c>
      <c r="E2" s="181">
        <v>100</v>
      </c>
      <c r="F2" s="248"/>
      <c r="G2" s="248"/>
      <c r="H2" s="248"/>
      <c r="I2" s="248"/>
      <c r="J2" s="248"/>
    </row>
    <row r="3" spans="2:10" ht="13.5" customHeight="1">
      <c r="B3" s="263" t="s">
        <v>183</v>
      </c>
      <c r="C3" s="181">
        <v>121</v>
      </c>
      <c r="D3" s="263" t="s">
        <v>183</v>
      </c>
      <c r="E3" s="181">
        <v>225</v>
      </c>
      <c r="F3" s="262"/>
      <c r="G3" s="248"/>
      <c r="H3" s="248"/>
      <c r="I3" s="248"/>
      <c r="J3" s="248"/>
    </row>
    <row r="4" spans="2:10" ht="13.5" customHeight="1">
      <c r="B4" s="248"/>
      <c r="C4" s="246"/>
      <c r="D4" s="246"/>
      <c r="G4" s="248"/>
      <c r="H4" s="248"/>
      <c r="I4" s="248"/>
      <c r="J4" s="248"/>
    </row>
    <row r="5" spans="2:12" ht="13.5" customHeight="1">
      <c r="B5" s="248"/>
      <c r="C5" s="177" t="s">
        <v>184</v>
      </c>
      <c r="D5" s="254">
        <v>-0.7</v>
      </c>
      <c r="G5" s="248"/>
      <c r="H5" s="248"/>
      <c r="I5" s="248"/>
      <c r="J5" s="248"/>
      <c r="K5" s="247"/>
      <c r="L5" s="247"/>
    </row>
    <row r="6" spans="2:12" ht="13.5" customHeight="1" thickBot="1">
      <c r="B6" s="248"/>
      <c r="C6" s="246"/>
      <c r="D6" s="246"/>
      <c r="G6" s="248"/>
      <c r="H6" s="248"/>
      <c r="I6" s="248"/>
      <c r="J6" s="248"/>
      <c r="K6" s="247"/>
      <c r="L6" s="247"/>
    </row>
    <row r="7" spans="1:12" ht="13.5" customHeight="1" thickBot="1">
      <c r="A7" s="177" t="s">
        <v>317</v>
      </c>
      <c r="B7" s="271" t="s">
        <v>185</v>
      </c>
      <c r="C7" s="246"/>
      <c r="D7" s="246"/>
      <c r="G7" s="248"/>
      <c r="H7" s="248"/>
      <c r="I7" s="248"/>
      <c r="J7" s="248"/>
      <c r="K7" s="247"/>
      <c r="L7" s="247"/>
    </row>
    <row r="8" spans="2:12" ht="13.5" customHeight="1">
      <c r="B8" s="248"/>
      <c r="C8" s="246"/>
      <c r="D8" s="246"/>
      <c r="G8" s="248"/>
      <c r="H8" s="248"/>
      <c r="I8" s="248"/>
      <c r="J8" s="248"/>
      <c r="K8" s="247"/>
      <c r="L8" s="247"/>
    </row>
    <row r="9" spans="1:10" ht="13.5" customHeight="1">
      <c r="A9" s="177" t="s">
        <v>318</v>
      </c>
      <c r="B9" s="252" t="s">
        <v>186</v>
      </c>
      <c r="C9" s="254">
        <f>(120-E2)/SQRT(E3)</f>
        <v>1.3333333333333333</v>
      </c>
      <c r="D9" s="248"/>
      <c r="E9" s="248"/>
      <c r="F9" s="248"/>
      <c r="G9" s="248"/>
      <c r="H9" s="248"/>
      <c r="I9" s="248"/>
      <c r="J9" s="248"/>
    </row>
    <row r="10" spans="2:10" ht="13.5" customHeight="1" thickBot="1">
      <c r="B10" s="252" t="s">
        <v>187</v>
      </c>
      <c r="C10" s="254">
        <f>C9*D5</f>
        <v>-0.9333333333333332</v>
      </c>
      <c r="D10" s="248"/>
      <c r="E10" s="248"/>
      <c r="F10" s="248"/>
      <c r="G10" s="248"/>
      <c r="H10" s="248"/>
      <c r="I10" s="248"/>
      <c r="J10" s="248"/>
    </row>
    <row r="11" spans="2:10" ht="13.5" customHeight="1" thickBot="1">
      <c r="B11" s="272" t="s">
        <v>188</v>
      </c>
      <c r="C11" s="273">
        <f>C2+(C10*SQRT(C3))</f>
        <v>239.73333333333335</v>
      </c>
      <c r="D11" s="249"/>
      <c r="E11" s="248"/>
      <c r="F11" s="248"/>
      <c r="G11" s="248"/>
      <c r="H11" s="248"/>
      <c r="I11" s="248"/>
      <c r="J11" s="248"/>
    </row>
    <row r="12" spans="2:10" ht="13.5" customHeight="1">
      <c r="B12" s="248"/>
      <c r="C12" s="250"/>
      <c r="D12" s="248"/>
      <c r="E12" s="248"/>
      <c r="F12" s="248"/>
      <c r="G12" s="248"/>
      <c r="H12" s="248"/>
      <c r="I12" s="248"/>
      <c r="J12" s="248"/>
    </row>
    <row r="13" spans="1:10" ht="13.5" customHeight="1">
      <c r="A13" s="177" t="s">
        <v>319</v>
      </c>
      <c r="B13" s="252" t="s">
        <v>189</v>
      </c>
      <c r="C13" s="254">
        <f>(C11-C2)/SQRT(C3)</f>
        <v>-0.9333333333333319</v>
      </c>
      <c r="D13" s="248"/>
      <c r="E13" s="248"/>
      <c r="F13" s="248"/>
      <c r="G13" s="248"/>
      <c r="H13" s="248"/>
      <c r="I13" s="248"/>
      <c r="J13" s="248"/>
    </row>
    <row r="14" spans="2:10" ht="13.5" customHeight="1" thickBot="1">
      <c r="B14" s="252" t="s">
        <v>190</v>
      </c>
      <c r="C14" s="254">
        <f>C13*D5</f>
        <v>0.6533333333333323</v>
      </c>
      <c r="D14" s="248"/>
      <c r="E14" s="248"/>
      <c r="F14" s="248"/>
      <c r="G14" s="248"/>
      <c r="H14" s="248"/>
      <c r="I14" s="248"/>
      <c r="J14" s="248"/>
    </row>
    <row r="15" spans="2:10" ht="13.5" customHeight="1" thickBot="1">
      <c r="B15" s="272" t="s">
        <v>191</v>
      </c>
      <c r="C15" s="273">
        <f>E2+(C14*SQRT(E3))</f>
        <v>109.79999999999998</v>
      </c>
      <c r="D15" s="248"/>
      <c r="E15" s="248"/>
      <c r="F15" s="248"/>
      <c r="G15" s="248"/>
      <c r="H15" s="248"/>
      <c r="I15" s="248"/>
      <c r="J15" s="248"/>
    </row>
    <row r="16" spans="2:10" ht="13.5" customHeight="1">
      <c r="B16" s="248"/>
      <c r="C16" s="250"/>
      <c r="D16" s="248"/>
      <c r="E16" s="248"/>
      <c r="F16" s="248"/>
      <c r="G16" s="248"/>
      <c r="H16" s="248"/>
      <c r="I16" s="248"/>
      <c r="J16" s="248"/>
    </row>
    <row r="17" spans="2:10" ht="13.5" customHeight="1">
      <c r="B17" s="248"/>
      <c r="C17" s="250"/>
      <c r="D17" s="248"/>
      <c r="E17" s="248"/>
      <c r="F17" s="248"/>
      <c r="G17" s="248"/>
      <c r="H17" s="248"/>
      <c r="I17" s="248"/>
      <c r="J17" s="248"/>
    </row>
    <row r="18" spans="1:10" ht="13.5" customHeight="1">
      <c r="A18" s="181">
        <v>2</v>
      </c>
      <c r="B18" s="248"/>
      <c r="C18" s="250"/>
      <c r="D18" s="248"/>
      <c r="E18" s="248"/>
      <c r="F18" s="248"/>
      <c r="G18" s="248"/>
      <c r="H18" s="248"/>
      <c r="I18" s="248"/>
      <c r="J18" s="248"/>
    </row>
    <row r="19" spans="1:10" ht="13.5" customHeight="1">
      <c r="A19" s="177" t="s">
        <v>317</v>
      </c>
      <c r="B19" s="270" t="s">
        <v>192</v>
      </c>
      <c r="C19" s="245" t="s">
        <v>193</v>
      </c>
      <c r="D19" s="245" t="s">
        <v>194</v>
      </c>
      <c r="E19" s="245" t="s">
        <v>195</v>
      </c>
      <c r="F19" s="270" t="s">
        <v>196</v>
      </c>
      <c r="H19" s="266"/>
      <c r="I19" s="248"/>
      <c r="J19" s="248"/>
    </row>
    <row r="20" spans="2:10" ht="13.5" customHeight="1">
      <c r="B20" s="264">
        <v>1</v>
      </c>
      <c r="C20" s="246">
        <v>25</v>
      </c>
      <c r="D20" s="246">
        <f>-2*(B20-AVERAGE($B$20:$B$23))</f>
        <v>7</v>
      </c>
      <c r="E20" s="246">
        <v>0</v>
      </c>
      <c r="F20" s="177">
        <f>C20*$C$31</f>
        <v>350</v>
      </c>
      <c r="I20" s="248"/>
      <c r="J20" s="248"/>
    </row>
    <row r="21" spans="1:10" ht="13.5" customHeight="1">
      <c r="A21" s="252"/>
      <c r="B21" s="264">
        <v>2</v>
      </c>
      <c r="C21" s="246">
        <v>22</v>
      </c>
      <c r="D21" s="246">
        <f>-2*(B21-AVERAGE($B$20:$B$23))</f>
        <v>5</v>
      </c>
      <c r="E21" s="246">
        <v>0</v>
      </c>
      <c r="F21" s="177">
        <f aca="true" t="shared" si="0" ref="F21:F29">C21*$C$31</f>
        <v>308</v>
      </c>
      <c r="G21" s="248"/>
      <c r="H21" s="248"/>
      <c r="I21" s="248"/>
      <c r="J21" s="248"/>
    </row>
    <row r="22" spans="2:10" ht="13.5" customHeight="1">
      <c r="B22" s="264">
        <v>5</v>
      </c>
      <c r="C22" s="246">
        <v>22</v>
      </c>
      <c r="D22" s="246">
        <f>-2*(B22-AVERAGE($B$20:$B$23))</f>
        <v>-1</v>
      </c>
      <c r="E22" s="246">
        <v>0</v>
      </c>
      <c r="F22" s="177">
        <f t="shared" si="0"/>
        <v>308</v>
      </c>
      <c r="G22" s="248"/>
      <c r="H22" s="248"/>
      <c r="I22" s="248"/>
      <c r="J22" s="248"/>
    </row>
    <row r="23" spans="2:10" ht="13.5" customHeight="1">
      <c r="B23" s="264">
        <v>10</v>
      </c>
      <c r="C23" s="246">
        <v>18</v>
      </c>
      <c r="D23" s="246">
        <f>-2*(B23-AVERAGE($B$20:$B$23))</f>
        <v>-11</v>
      </c>
      <c r="E23" s="246">
        <v>0</v>
      </c>
      <c r="F23" s="177">
        <f t="shared" si="0"/>
        <v>252</v>
      </c>
      <c r="G23" s="248"/>
      <c r="H23" s="248"/>
      <c r="I23" s="248"/>
      <c r="J23" s="248"/>
    </row>
    <row r="24" spans="2:10" ht="13.5" customHeight="1">
      <c r="B24" s="264">
        <v>11</v>
      </c>
      <c r="C24" s="246">
        <v>17</v>
      </c>
      <c r="D24" s="246">
        <v>0</v>
      </c>
      <c r="E24" s="246">
        <f aca="true" t="shared" si="1" ref="E24:E29">(B24-AVERAGE($B$24:$B$29))</f>
        <v>-5</v>
      </c>
      <c r="F24" s="177">
        <f t="shared" si="0"/>
        <v>238</v>
      </c>
      <c r="G24" s="248"/>
      <c r="H24" s="248"/>
      <c r="I24" s="248"/>
      <c r="J24" s="248"/>
    </row>
    <row r="25" spans="2:10" ht="13.5" customHeight="1">
      <c r="B25" s="264">
        <v>13</v>
      </c>
      <c r="C25" s="246">
        <v>23</v>
      </c>
      <c r="D25" s="246">
        <v>0</v>
      </c>
      <c r="E25" s="246">
        <f t="shared" si="1"/>
        <v>-3</v>
      </c>
      <c r="F25" s="177">
        <f t="shared" si="0"/>
        <v>322</v>
      </c>
      <c r="G25" s="248"/>
      <c r="H25" s="248"/>
      <c r="I25" s="248"/>
      <c r="J25" s="248"/>
    </row>
    <row r="26" spans="2:10" ht="13.5" customHeight="1">
      <c r="B26" s="264">
        <v>15</v>
      </c>
      <c r="C26" s="246">
        <v>25</v>
      </c>
      <c r="D26" s="246">
        <v>0</v>
      </c>
      <c r="E26" s="246">
        <f t="shared" si="1"/>
        <v>-1</v>
      </c>
      <c r="F26" s="177">
        <f t="shared" si="0"/>
        <v>350</v>
      </c>
      <c r="G26" s="181"/>
      <c r="H26" s="248"/>
      <c r="I26" s="248"/>
      <c r="J26" s="248"/>
    </row>
    <row r="27" spans="2:10" ht="13.5" customHeight="1">
      <c r="B27" s="264">
        <v>17</v>
      </c>
      <c r="C27" s="246">
        <v>24</v>
      </c>
      <c r="D27" s="246">
        <v>0</v>
      </c>
      <c r="E27" s="246">
        <f t="shared" si="1"/>
        <v>1</v>
      </c>
      <c r="F27" s="177">
        <f t="shared" si="0"/>
        <v>336</v>
      </c>
      <c r="G27" s="248"/>
      <c r="H27" s="248"/>
      <c r="I27" s="248"/>
      <c r="J27" s="248"/>
    </row>
    <row r="28" spans="1:10" ht="13.5" customHeight="1">
      <c r="A28" s="252"/>
      <c r="B28" s="264">
        <v>19</v>
      </c>
      <c r="C28" s="246">
        <v>28</v>
      </c>
      <c r="D28" s="246">
        <v>0</v>
      </c>
      <c r="E28" s="246">
        <f t="shared" si="1"/>
        <v>3</v>
      </c>
      <c r="F28" s="177">
        <f t="shared" si="0"/>
        <v>392</v>
      </c>
      <c r="G28" s="252"/>
      <c r="H28" s="252"/>
      <c r="I28" s="252"/>
      <c r="J28" s="252"/>
    </row>
    <row r="29" spans="2:10" ht="13.5" customHeight="1">
      <c r="B29" s="264">
        <v>21</v>
      </c>
      <c r="C29" s="246">
        <v>30</v>
      </c>
      <c r="D29" s="246">
        <v>0</v>
      </c>
      <c r="E29" s="246">
        <f t="shared" si="1"/>
        <v>5</v>
      </c>
      <c r="F29" s="177">
        <f t="shared" si="0"/>
        <v>420</v>
      </c>
      <c r="G29" s="252"/>
      <c r="H29" s="252"/>
      <c r="I29" s="252"/>
      <c r="J29" s="252"/>
    </row>
    <row r="30" spans="2:10" ht="13.5" customHeight="1">
      <c r="B30" s="264"/>
      <c r="C30" s="252"/>
      <c r="D30" s="250"/>
      <c r="E30" s="248"/>
      <c r="F30" s="177">
        <f>SUM(F20:F29)</f>
        <v>3276</v>
      </c>
      <c r="G30" s="267" t="s">
        <v>197</v>
      </c>
      <c r="H30" s="252"/>
      <c r="I30" s="252"/>
      <c r="J30" s="252"/>
    </row>
    <row r="31" spans="2:10" ht="13.5" customHeight="1">
      <c r="B31" s="265" t="s">
        <v>39</v>
      </c>
      <c r="C31" s="181">
        <v>14</v>
      </c>
      <c r="D31" s="250"/>
      <c r="E31" s="248"/>
      <c r="F31" s="177">
        <f>C31*10</f>
        <v>140</v>
      </c>
      <c r="G31" s="268" t="s">
        <v>247</v>
      </c>
      <c r="H31" s="252"/>
      <c r="I31" s="252"/>
      <c r="J31" s="252"/>
    </row>
    <row r="32" spans="2:10" ht="13.5" customHeight="1">
      <c r="B32" s="265" t="s">
        <v>143</v>
      </c>
      <c r="C32" s="254">
        <f>SUMSQ(F20:F29)/C31-(F30^2/F31)</f>
        <v>2021.6000000000058</v>
      </c>
      <c r="E32" s="248"/>
      <c r="F32" s="248"/>
      <c r="G32" s="252"/>
      <c r="H32" s="252"/>
      <c r="I32" s="252"/>
      <c r="J32" s="252"/>
    </row>
    <row r="33" spans="2:10" ht="13.5" customHeight="1" thickBot="1">
      <c r="B33" s="264"/>
      <c r="C33" s="251"/>
      <c r="D33" s="246"/>
      <c r="E33" s="251"/>
      <c r="F33" s="251"/>
      <c r="G33" s="248"/>
      <c r="H33" s="248"/>
      <c r="I33" s="248"/>
      <c r="J33" s="248"/>
    </row>
    <row r="34" spans="1:13" ht="13.5" customHeight="1">
      <c r="A34" s="177" t="s">
        <v>318</v>
      </c>
      <c r="B34" s="13" t="s">
        <v>198</v>
      </c>
      <c r="C34" s="274">
        <f>((C31*(SUMPRODUCT(D20:D29,C20:C29)^2))/SUMSQ(D20:D29))</f>
        <v>301.7857142857143</v>
      </c>
      <c r="D34" s="181"/>
      <c r="E34" s="262"/>
      <c r="F34" s="248"/>
      <c r="G34" s="248"/>
      <c r="H34" s="248"/>
      <c r="I34" s="248"/>
      <c r="J34" s="248"/>
      <c r="K34" s="253"/>
      <c r="L34" s="253"/>
      <c r="M34" s="253"/>
    </row>
    <row r="35" spans="2:13" ht="13.5" customHeight="1">
      <c r="B35" s="275"/>
      <c r="C35" s="276"/>
      <c r="D35" s="248"/>
      <c r="E35" s="248"/>
      <c r="F35" s="248"/>
      <c r="G35" s="248"/>
      <c r="H35" s="248"/>
      <c r="I35" s="248"/>
      <c r="J35" s="248"/>
      <c r="K35" s="253"/>
      <c r="L35" s="253"/>
      <c r="M35" s="253"/>
    </row>
    <row r="36" spans="1:13" ht="13.5" customHeight="1">
      <c r="A36" s="252"/>
      <c r="B36" s="26" t="s">
        <v>199</v>
      </c>
      <c r="C36" s="277">
        <f>(C31*SUMPRODUCT(E20:E29,C20:C29)^2)/SUMSQ(E20:E29)</f>
        <v>1248.2</v>
      </c>
      <c r="F36" s="248"/>
      <c r="G36" s="248"/>
      <c r="H36" s="248"/>
      <c r="I36" s="248"/>
      <c r="J36" s="248"/>
      <c r="K36" s="253"/>
      <c r="L36" s="253"/>
      <c r="M36" s="253"/>
    </row>
    <row r="37" spans="1:13" ht="13.5" customHeight="1">
      <c r="A37" s="252"/>
      <c r="B37" s="275"/>
      <c r="C37" s="278"/>
      <c r="F37" s="248"/>
      <c r="G37" s="248"/>
      <c r="H37" s="248"/>
      <c r="I37" s="248"/>
      <c r="J37" s="248"/>
      <c r="K37" s="253"/>
      <c r="L37" s="253"/>
      <c r="M37" s="253"/>
    </row>
    <row r="38" spans="1:13" ht="13.5" customHeight="1" thickBot="1">
      <c r="A38" s="252"/>
      <c r="B38" s="28" t="s">
        <v>63</v>
      </c>
      <c r="C38" s="279">
        <f>C32-(C34+C36)</f>
        <v>471.61428571429155</v>
      </c>
      <c r="D38" s="252"/>
      <c r="F38" s="248"/>
      <c r="G38" s="248"/>
      <c r="H38" s="248"/>
      <c r="I38" s="248"/>
      <c r="J38" s="248"/>
      <c r="K38" s="253"/>
      <c r="L38" s="253"/>
      <c r="M38" s="253"/>
    </row>
    <row r="39" spans="1:13" ht="13.5" customHeight="1" thickBot="1">
      <c r="A39" s="252"/>
      <c r="B39" s="264"/>
      <c r="D39" s="252"/>
      <c r="F39" s="248"/>
      <c r="G39" s="248"/>
      <c r="H39" s="248"/>
      <c r="I39" s="248"/>
      <c r="J39" s="248"/>
      <c r="K39" s="253"/>
      <c r="L39" s="253"/>
      <c r="M39" s="253"/>
    </row>
    <row r="40" spans="1:13" ht="13.5" customHeight="1">
      <c r="A40" s="252" t="s">
        <v>319</v>
      </c>
      <c r="B40" s="280" t="s">
        <v>166</v>
      </c>
      <c r="C40" s="281" t="s">
        <v>252</v>
      </c>
      <c r="D40" s="281" t="s">
        <v>304</v>
      </c>
      <c r="E40" s="281" t="s">
        <v>167</v>
      </c>
      <c r="F40" s="281" t="s">
        <v>168</v>
      </c>
      <c r="G40" s="282" t="s">
        <v>169</v>
      </c>
      <c r="H40" s="283" t="s">
        <v>67</v>
      </c>
      <c r="I40" s="248"/>
      <c r="J40" s="248"/>
      <c r="K40" s="253"/>
      <c r="L40" s="253"/>
      <c r="M40" s="253"/>
    </row>
    <row r="41" spans="1:10" ht="13.5" customHeight="1">
      <c r="A41" s="252"/>
      <c r="B41" s="275" t="s">
        <v>170</v>
      </c>
      <c r="C41" s="8">
        <f>COUNT(B20:B29)-1</f>
        <v>9</v>
      </c>
      <c r="D41" s="11">
        <f>C32</f>
        <v>2021.6000000000058</v>
      </c>
      <c r="E41" s="269"/>
      <c r="F41" s="248"/>
      <c r="G41" s="248"/>
      <c r="H41" s="276"/>
      <c r="I41" s="248"/>
      <c r="J41" s="248"/>
    </row>
    <row r="42" spans="2:12" ht="13.5" customHeight="1">
      <c r="B42" s="26" t="s">
        <v>64</v>
      </c>
      <c r="C42" s="2">
        <v>1</v>
      </c>
      <c r="D42" s="3">
        <f>C34</f>
        <v>301.7857142857143</v>
      </c>
      <c r="E42" s="3">
        <f>D42/C42</f>
        <v>301.7857142857143</v>
      </c>
      <c r="F42" s="248">
        <f>E42/$E$45</f>
        <v>27.435064935064933</v>
      </c>
      <c r="G42" s="248">
        <f>FINV(0.05,C42,$C$45)</f>
        <v>3.9139889208789356</v>
      </c>
      <c r="H42" s="284">
        <f>D42/$D$41</f>
        <v>0.14928062637797457</v>
      </c>
      <c r="I42" s="248"/>
      <c r="J42" s="248"/>
      <c r="K42" s="253"/>
      <c r="L42" s="253"/>
    </row>
    <row r="43" spans="2:12" ht="13.5" customHeight="1">
      <c r="B43" s="26" t="s">
        <v>65</v>
      </c>
      <c r="C43" s="2">
        <v>1</v>
      </c>
      <c r="D43" s="3">
        <f>C36</f>
        <v>1248.2</v>
      </c>
      <c r="E43" s="3">
        <f>D43/C43</f>
        <v>1248.2</v>
      </c>
      <c r="F43" s="248">
        <f>E43/$E$45</f>
        <v>113.47272727272728</v>
      </c>
      <c r="G43" s="248">
        <f>FINV(0.05,C43,$C$45)</f>
        <v>3.9139889208789356</v>
      </c>
      <c r="H43" s="284">
        <f>D43/$D$41</f>
        <v>0.6174317372378296</v>
      </c>
      <c r="I43" s="248"/>
      <c r="J43" s="248"/>
      <c r="K43" s="253"/>
      <c r="L43" s="253"/>
    </row>
    <row r="44" spans="2:12" ht="13.5" customHeight="1">
      <c r="B44" s="26" t="s">
        <v>66</v>
      </c>
      <c r="C44" s="2">
        <f>C41-(C42+C43)</f>
        <v>7</v>
      </c>
      <c r="D44" s="3">
        <f>C38</f>
        <v>471.61428571429155</v>
      </c>
      <c r="E44" s="3">
        <f>D44/C44</f>
        <v>67.37346938775593</v>
      </c>
      <c r="F44" s="248">
        <f>E44/$E$45</f>
        <v>6.124860853432358</v>
      </c>
      <c r="G44" s="248">
        <f>FINV(0.05,C44,$C$45)</f>
        <v>2.0807429283226115</v>
      </c>
      <c r="H44" s="284">
        <f>D44/$D$41</f>
        <v>0.23328763638419578</v>
      </c>
      <c r="I44" s="253"/>
      <c r="J44" s="253"/>
      <c r="K44" s="253"/>
      <c r="L44" s="253"/>
    </row>
    <row r="45" spans="2:12" ht="13.5" customHeight="1" thickBot="1">
      <c r="B45" s="285" t="s">
        <v>174</v>
      </c>
      <c r="C45" s="57">
        <f>(C31-1)*COUNT(B20:B29)</f>
        <v>130</v>
      </c>
      <c r="D45" s="286">
        <f>E45*C45</f>
        <v>1430</v>
      </c>
      <c r="E45" s="286">
        <v>11</v>
      </c>
      <c r="F45" s="287"/>
      <c r="G45" s="288"/>
      <c r="H45" s="289"/>
      <c r="I45" s="253"/>
      <c r="J45" s="253"/>
      <c r="K45" s="253"/>
      <c r="L45" s="253"/>
    </row>
    <row r="46" spans="2:12" ht="13.5" customHeight="1" thickBot="1">
      <c r="B46" s="264"/>
      <c r="D46" s="181"/>
      <c r="I46" s="253"/>
      <c r="J46" s="253"/>
      <c r="K46" s="253"/>
      <c r="L46" s="253"/>
    </row>
    <row r="47" spans="1:12" ht="13.5" customHeight="1">
      <c r="A47" s="177" t="s">
        <v>321</v>
      </c>
      <c r="B47" s="13" t="s">
        <v>69</v>
      </c>
      <c r="C47" s="274">
        <f>SQRT(H42)</f>
        <v>0.3863685111107977</v>
      </c>
      <c r="D47" s="254"/>
      <c r="I47" s="253"/>
      <c r="J47" s="253"/>
      <c r="K47" s="253"/>
      <c r="L47" s="253"/>
    </row>
    <row r="48" spans="1:3" ht="13.5" customHeight="1" thickBot="1">
      <c r="A48" s="255"/>
      <c r="B48" s="28" t="s">
        <v>70</v>
      </c>
      <c r="C48" s="279">
        <f>SQRT(H43)</f>
        <v>0.7857682465191818</v>
      </c>
    </row>
    <row r="49" ht="13.5" customHeight="1">
      <c r="C49" s="253"/>
    </row>
    <row r="50" spans="2:4" ht="13.5" customHeight="1">
      <c r="B50" s="246"/>
      <c r="C50" s="246"/>
      <c r="D50" s="246"/>
    </row>
    <row r="51" spans="2:4" ht="13.5" customHeight="1">
      <c r="B51" s="246"/>
      <c r="C51" s="246"/>
      <c r="D51" s="246"/>
    </row>
    <row r="52" spans="2:5" ht="13.5" customHeight="1">
      <c r="B52" s="246"/>
      <c r="C52" s="246"/>
      <c r="D52" s="246"/>
      <c r="E52" s="256"/>
    </row>
    <row r="53" spans="2:4" ht="13.5" customHeight="1">
      <c r="B53" s="246"/>
      <c r="C53" s="246"/>
      <c r="D53" s="246"/>
    </row>
    <row r="54" spans="2:4" ht="13.5" customHeight="1">
      <c r="B54" s="246"/>
      <c r="C54" s="246"/>
      <c r="D54" s="246"/>
    </row>
    <row r="55" spans="2:4" ht="13.5" customHeight="1">
      <c r="B55" s="246"/>
      <c r="C55" s="246"/>
      <c r="D55" s="246"/>
    </row>
    <row r="56" spans="2:8" ht="13.5" customHeight="1">
      <c r="B56" s="246"/>
      <c r="C56" s="246"/>
      <c r="D56" s="246"/>
      <c r="E56" s="256"/>
      <c r="H56" s="246"/>
    </row>
    <row r="57" spans="2:8" ht="13.5" customHeight="1">
      <c r="B57" s="246"/>
      <c r="C57" s="246"/>
      <c r="D57" s="246"/>
      <c r="H57" s="256"/>
    </row>
    <row r="58" spans="2:4" ht="13.5" customHeight="1">
      <c r="B58" s="246"/>
      <c r="C58" s="246"/>
      <c r="D58" s="246"/>
    </row>
    <row r="59" spans="2:4" ht="13.5" customHeight="1">
      <c r="B59" s="246"/>
      <c r="C59" s="246"/>
      <c r="D59" s="246"/>
    </row>
    <row r="60" spans="2:5" ht="13.5" customHeight="1">
      <c r="B60" s="246"/>
      <c r="C60" s="246"/>
      <c r="D60" s="246"/>
      <c r="E60" s="256"/>
    </row>
    <row r="61" spans="2:8" ht="13.5" customHeight="1">
      <c r="B61" s="246"/>
      <c r="C61" s="246"/>
      <c r="D61" s="246"/>
      <c r="H61" s="246"/>
    </row>
    <row r="62" spans="2:8" ht="13.5" customHeight="1">
      <c r="B62" s="246"/>
      <c r="C62" s="246"/>
      <c r="D62" s="246"/>
      <c r="G62" s="246"/>
      <c r="H62" s="246"/>
    </row>
    <row r="63" spans="2:8" ht="13.5" customHeight="1">
      <c r="B63" s="246"/>
      <c r="C63" s="256"/>
      <c r="D63" s="256"/>
      <c r="G63" s="246"/>
      <c r="H63" s="246"/>
    </row>
    <row r="64" spans="2:8" ht="13.5" customHeight="1">
      <c r="B64" s="246"/>
      <c r="C64" s="256"/>
      <c r="D64" s="256"/>
      <c r="G64" s="246"/>
      <c r="H64" s="246"/>
    </row>
    <row r="65" spans="2:8" ht="13.5" customHeight="1">
      <c r="B65" s="246"/>
      <c r="C65" s="256"/>
      <c r="D65" s="256"/>
      <c r="G65" s="246"/>
      <c r="H65" s="246"/>
    </row>
    <row r="66" spans="1:9" ht="13.5" customHeight="1">
      <c r="A66" s="255"/>
      <c r="D66" s="257"/>
      <c r="E66" s="258"/>
      <c r="F66" s="254"/>
      <c r="G66" s="246"/>
      <c r="H66" s="246"/>
      <c r="I66" s="215"/>
    </row>
    <row r="67" spans="5:13" ht="13.5" customHeight="1">
      <c r="E67" s="258"/>
      <c r="G67" s="246"/>
      <c r="H67" s="246"/>
      <c r="I67" s="253"/>
      <c r="J67" s="254"/>
      <c r="K67" s="258"/>
      <c r="L67" s="181"/>
      <c r="M67" s="246"/>
    </row>
    <row r="68" spans="5:13" ht="13.5" customHeight="1">
      <c r="E68" s="258"/>
      <c r="G68" s="246"/>
      <c r="H68" s="246"/>
      <c r="I68" s="253"/>
      <c r="J68" s="254"/>
      <c r="K68" s="258"/>
      <c r="L68" s="181"/>
      <c r="M68" s="246"/>
    </row>
    <row r="69" spans="3:13" ht="13.5" customHeight="1">
      <c r="C69" s="215"/>
      <c r="E69" s="258"/>
      <c r="G69" s="246"/>
      <c r="H69" s="246"/>
      <c r="J69" s="254"/>
      <c r="K69" s="258"/>
      <c r="L69" s="181"/>
      <c r="M69" s="246"/>
    </row>
    <row r="70" spans="5:13" ht="13.5" customHeight="1">
      <c r="E70" s="258"/>
      <c r="G70" s="246"/>
      <c r="H70" s="246"/>
      <c r="J70" s="181"/>
      <c r="K70" s="258"/>
      <c r="L70" s="181"/>
      <c r="M70" s="246"/>
    </row>
    <row r="71" spans="3:13" ht="13.5" customHeight="1">
      <c r="C71" s="258"/>
      <c r="E71" s="258"/>
      <c r="G71" s="246"/>
      <c r="H71" s="246"/>
      <c r="I71" s="258"/>
      <c r="J71" s="258"/>
      <c r="L71" s="181"/>
      <c r="M71" s="246"/>
    </row>
    <row r="72" spans="3:13" ht="13.5" customHeight="1">
      <c r="C72" s="259"/>
      <c r="E72" s="177"/>
      <c r="G72" s="246"/>
      <c r="H72" s="246"/>
      <c r="I72" s="246"/>
      <c r="J72" s="246"/>
      <c r="L72" s="181"/>
      <c r="M72" s="246"/>
    </row>
    <row r="73" spans="3:13" ht="13.5" customHeight="1">
      <c r="C73" s="259"/>
      <c r="E73" s="177"/>
      <c r="G73" s="246"/>
      <c r="H73" s="246"/>
      <c r="I73" s="246"/>
      <c r="J73" s="246"/>
      <c r="L73" s="181"/>
      <c r="M73" s="246"/>
    </row>
    <row r="74" spans="3:13" ht="13.5" customHeight="1">
      <c r="C74" s="259"/>
      <c r="E74" s="177"/>
      <c r="G74" s="246"/>
      <c r="H74" s="246"/>
      <c r="I74" s="246"/>
      <c r="J74" s="246"/>
      <c r="L74" s="181"/>
      <c r="M74" s="246"/>
    </row>
    <row r="75" spans="2:13" ht="13.5" customHeight="1">
      <c r="B75" s="260"/>
      <c r="C75" s="259"/>
      <c r="E75" s="177"/>
      <c r="G75" s="246"/>
      <c r="I75" s="246"/>
      <c r="J75" s="246"/>
      <c r="L75" s="181"/>
      <c r="M75" s="246"/>
    </row>
    <row r="76" spans="3:13" ht="13.5" customHeight="1">
      <c r="C76" s="259"/>
      <c r="E76" s="177"/>
      <c r="G76" s="246"/>
      <c r="I76" s="246"/>
      <c r="J76" s="246"/>
      <c r="L76" s="181"/>
      <c r="M76" s="246"/>
    </row>
    <row r="77" spans="3:13" ht="13.5" customHeight="1">
      <c r="C77" s="259"/>
      <c r="E77" s="177"/>
      <c r="G77" s="246"/>
      <c r="I77" s="246"/>
      <c r="J77" s="246"/>
      <c r="L77" s="181"/>
      <c r="M77" s="246"/>
    </row>
    <row r="78" spans="3:13" ht="13.5" customHeight="1">
      <c r="C78" s="259"/>
      <c r="E78" s="177"/>
      <c r="G78" s="246"/>
      <c r="I78" s="246"/>
      <c r="J78" s="246"/>
      <c r="L78" s="181"/>
      <c r="M78" s="246"/>
    </row>
    <row r="79" spans="2:13" ht="13.5" customHeight="1">
      <c r="B79" s="255"/>
      <c r="C79" s="259"/>
      <c r="E79" s="177"/>
      <c r="G79" s="246"/>
      <c r="I79" s="246"/>
      <c r="J79" s="246"/>
      <c r="L79" s="181"/>
      <c r="M79" s="246"/>
    </row>
    <row r="80" spans="3:13" ht="13.5" customHeight="1">
      <c r="C80" s="259"/>
      <c r="E80" s="177"/>
      <c r="G80" s="246"/>
      <c r="I80" s="246"/>
      <c r="J80" s="246"/>
      <c r="L80" s="181"/>
      <c r="M80" s="246"/>
    </row>
    <row r="81" spans="3:13" ht="13.5" customHeight="1">
      <c r="C81" s="259"/>
      <c r="E81" s="177"/>
      <c r="G81" s="246"/>
      <c r="I81" s="246"/>
      <c r="J81" s="246"/>
      <c r="L81" s="181"/>
      <c r="M81" s="246"/>
    </row>
    <row r="82" spans="3:13" ht="13.5" customHeight="1">
      <c r="C82" s="259"/>
      <c r="E82" s="177"/>
      <c r="G82" s="246"/>
      <c r="I82" s="246"/>
      <c r="J82" s="246"/>
      <c r="L82" s="181"/>
      <c r="M82" s="246"/>
    </row>
    <row r="83" spans="3:13" ht="13.5" customHeight="1">
      <c r="C83" s="259"/>
      <c r="E83" s="177"/>
      <c r="G83" s="246"/>
      <c r="I83" s="246"/>
      <c r="J83" s="246"/>
      <c r="L83" s="181"/>
      <c r="M83" s="246"/>
    </row>
    <row r="84" spans="3:13" ht="13.5" customHeight="1">
      <c r="C84" s="259"/>
      <c r="E84" s="177"/>
      <c r="G84" s="246"/>
      <c r="I84" s="246"/>
      <c r="J84" s="246"/>
      <c r="L84" s="181"/>
      <c r="M84" s="246"/>
    </row>
    <row r="85" spans="3:13" ht="13.5" customHeight="1">
      <c r="C85" s="259"/>
      <c r="E85" s="177"/>
      <c r="G85" s="246"/>
      <c r="I85" s="246"/>
      <c r="J85" s="246"/>
      <c r="L85" s="181"/>
      <c r="M85" s="246"/>
    </row>
    <row r="86" spans="3:13" ht="13.5" customHeight="1">
      <c r="C86" s="259"/>
      <c r="E86" s="177"/>
      <c r="G86" s="246"/>
      <c r="I86" s="246"/>
      <c r="J86" s="246"/>
      <c r="L86" s="181"/>
      <c r="M86" s="246"/>
    </row>
    <row r="87" spans="3:13" ht="13.5" customHeight="1">
      <c r="C87" s="259"/>
      <c r="E87" s="177"/>
      <c r="G87" s="246"/>
      <c r="I87" s="246"/>
      <c r="J87" s="246"/>
      <c r="L87" s="181"/>
      <c r="M87" s="246"/>
    </row>
    <row r="88" spans="3:13" ht="13.5" customHeight="1">
      <c r="C88" s="259"/>
      <c r="E88" s="177"/>
      <c r="G88" s="246"/>
      <c r="I88" s="246"/>
      <c r="J88" s="246"/>
      <c r="L88" s="181"/>
      <c r="M88" s="246"/>
    </row>
    <row r="89" spans="3:13" ht="13.5" customHeight="1">
      <c r="C89" s="259"/>
      <c r="E89" s="177"/>
      <c r="G89" s="246"/>
      <c r="I89" s="246"/>
      <c r="J89" s="246"/>
      <c r="L89" s="181"/>
      <c r="M89" s="246"/>
    </row>
    <row r="90" spans="2:13" ht="13.5" customHeight="1">
      <c r="B90" s="253"/>
      <c r="C90" s="259"/>
      <c r="E90" s="177"/>
      <c r="G90" s="246"/>
      <c r="I90" s="246"/>
      <c r="J90" s="246"/>
      <c r="L90" s="181"/>
      <c r="M90" s="246"/>
    </row>
    <row r="91" spans="3:13" ht="13.5" customHeight="1">
      <c r="C91" s="259"/>
      <c r="E91" s="177"/>
      <c r="G91" s="246"/>
      <c r="I91" s="246"/>
      <c r="J91" s="246"/>
      <c r="L91" s="181"/>
      <c r="M91" s="246"/>
    </row>
    <row r="92" spans="3:13" ht="13.5" customHeight="1">
      <c r="C92" s="259"/>
      <c r="E92" s="177"/>
      <c r="F92" s="254"/>
      <c r="G92" s="246"/>
      <c r="I92" s="246"/>
      <c r="J92" s="246"/>
      <c r="L92" s="254"/>
      <c r="M92" s="246"/>
    </row>
    <row r="93" spans="3:13" ht="13.5" customHeight="1">
      <c r="C93" s="259"/>
      <c r="E93" s="177"/>
      <c r="G93" s="246"/>
      <c r="I93" s="246"/>
      <c r="J93" s="246"/>
      <c r="L93" s="181"/>
      <c r="M93" s="246"/>
    </row>
    <row r="94" spans="3:13" ht="13.5" customHeight="1">
      <c r="C94" s="259"/>
      <c r="E94" s="177"/>
      <c r="G94" s="246"/>
      <c r="H94" s="246"/>
      <c r="I94" s="246"/>
      <c r="J94" s="246"/>
      <c r="L94" s="181"/>
      <c r="M94" s="246"/>
    </row>
    <row r="95" spans="2:10" ht="13.5" customHeight="1">
      <c r="B95" s="246"/>
      <c r="C95" s="253"/>
      <c r="D95" s="254"/>
      <c r="E95" s="256"/>
      <c r="F95" s="254"/>
      <c r="G95" s="246"/>
      <c r="H95" s="246"/>
      <c r="I95" s="246"/>
      <c r="J95" s="246"/>
    </row>
    <row r="96" spans="3:10" ht="13.5" customHeight="1">
      <c r="C96" s="181"/>
      <c r="E96" s="181"/>
      <c r="F96" s="177"/>
      <c r="G96" s="181"/>
      <c r="H96" s="246"/>
      <c r="I96" s="246"/>
      <c r="J96" s="246"/>
    </row>
    <row r="97" spans="3:10" ht="13.5" customHeight="1">
      <c r="C97" s="181"/>
      <c r="E97" s="181"/>
      <c r="F97" s="177"/>
      <c r="G97" s="181"/>
      <c r="H97" s="246"/>
      <c r="I97" s="256"/>
      <c r="J97" s="246"/>
    </row>
    <row r="98" spans="3:10" ht="13.5" customHeight="1">
      <c r="C98" s="181"/>
      <c r="E98" s="181"/>
      <c r="F98" s="177"/>
      <c r="G98" s="181"/>
      <c r="H98" s="246"/>
      <c r="I98" s="256"/>
      <c r="J98" s="246"/>
    </row>
    <row r="99" spans="3:10" ht="13.5" customHeight="1">
      <c r="C99" s="181"/>
      <c r="E99" s="181"/>
      <c r="F99" s="177"/>
      <c r="G99" s="181"/>
      <c r="H99" s="246"/>
      <c r="I99" s="246"/>
      <c r="J99" s="246"/>
    </row>
    <row r="100" spans="3:10" ht="13.5" customHeight="1">
      <c r="C100" s="261"/>
      <c r="E100" s="261"/>
      <c r="F100" s="253"/>
      <c r="G100" s="181"/>
      <c r="H100" s="246"/>
      <c r="I100" s="246"/>
      <c r="J100" s="246"/>
    </row>
    <row r="101" spans="3:10" ht="13.5" customHeight="1">
      <c r="C101" s="246"/>
      <c r="D101" s="246"/>
      <c r="G101" s="246"/>
      <c r="H101" s="246"/>
      <c r="I101" s="246"/>
      <c r="J101" s="246"/>
    </row>
    <row r="102" spans="3:10" ht="13.5" customHeight="1">
      <c r="C102" s="254"/>
      <c r="D102" s="256"/>
      <c r="E102" s="256"/>
      <c r="F102" s="254"/>
      <c r="G102" s="246"/>
      <c r="H102" s="246"/>
      <c r="I102" s="246"/>
      <c r="J102" s="246"/>
    </row>
    <row r="103" spans="3:10" ht="13.5" customHeight="1">
      <c r="C103" s="254"/>
      <c r="D103" s="256"/>
      <c r="E103" s="256"/>
      <c r="F103" s="254"/>
      <c r="G103" s="246"/>
      <c r="H103" s="246"/>
      <c r="I103" s="246"/>
      <c r="J103" s="246"/>
    </row>
    <row r="104" spans="2:10" ht="13.5" customHeight="1">
      <c r="B104" s="246"/>
      <c r="C104" s="256"/>
      <c r="D104" s="256"/>
      <c r="E104" s="256"/>
      <c r="F104" s="254"/>
      <c r="G104" s="246"/>
      <c r="H104" s="246"/>
      <c r="I104" s="246"/>
      <c r="J104" s="246"/>
    </row>
    <row r="105" spans="3:10" ht="13.5" customHeight="1">
      <c r="C105" s="254"/>
      <c r="D105" s="256"/>
      <c r="E105" s="256"/>
      <c r="F105" s="254"/>
      <c r="G105" s="246"/>
      <c r="H105" s="246"/>
      <c r="I105" s="246"/>
      <c r="J105" s="246"/>
    </row>
    <row r="106" spans="2:10" ht="13.5" customHeight="1">
      <c r="B106" s="253"/>
      <c r="C106" s="254"/>
      <c r="D106" s="256"/>
      <c r="E106" s="256"/>
      <c r="F106" s="254"/>
      <c r="G106" s="246"/>
      <c r="H106" s="246"/>
      <c r="I106" s="246"/>
      <c r="J106" s="246"/>
    </row>
    <row r="107" spans="3:10" ht="13.5" customHeight="1">
      <c r="C107" s="253"/>
      <c r="D107" s="256"/>
      <c r="E107" s="256"/>
      <c r="F107" s="254"/>
      <c r="G107" s="246"/>
      <c r="H107" s="246"/>
      <c r="I107" s="246"/>
      <c r="J107" s="246"/>
    </row>
    <row r="108" spans="3:10" ht="13.5" customHeight="1">
      <c r="C108" s="254"/>
      <c r="D108" s="256"/>
      <c r="G108" s="246"/>
      <c r="H108" s="246"/>
      <c r="I108" s="246"/>
      <c r="J108" s="246"/>
    </row>
    <row r="109" spans="3:10" ht="13.5" customHeight="1">
      <c r="C109" s="254"/>
      <c r="D109" s="181"/>
      <c r="G109" s="246"/>
      <c r="H109" s="246"/>
      <c r="I109" s="246"/>
      <c r="J109" s="246"/>
    </row>
    <row r="110" spans="4:10" ht="13.5" customHeight="1">
      <c r="D110" s="181"/>
      <c r="G110" s="246"/>
      <c r="H110" s="246"/>
      <c r="I110" s="246"/>
      <c r="J110" s="246"/>
    </row>
    <row r="111" spans="4:10" ht="13.5" customHeight="1">
      <c r="D111" s="181"/>
      <c r="G111" s="246"/>
      <c r="H111" s="246"/>
      <c r="I111" s="246"/>
      <c r="J111" s="246"/>
    </row>
    <row r="112" spans="4:10" ht="13.5" customHeight="1">
      <c r="D112" s="181"/>
      <c r="G112" s="246"/>
      <c r="H112" s="246"/>
      <c r="I112" s="246"/>
      <c r="J112" s="246"/>
    </row>
    <row r="113" spans="3:10" ht="13.5" customHeight="1">
      <c r="C113" s="253"/>
      <c r="D113" s="181"/>
      <c r="G113" s="246"/>
      <c r="H113" s="246"/>
      <c r="I113" s="246"/>
      <c r="J113" s="246"/>
    </row>
    <row r="114" spans="3:10" ht="13.5" customHeight="1">
      <c r="C114" s="253"/>
      <c r="D114" s="181"/>
      <c r="E114" s="256"/>
      <c r="G114" s="246"/>
      <c r="H114" s="246"/>
      <c r="I114" s="246"/>
      <c r="J114" s="246"/>
    </row>
    <row r="115" spans="3:10" ht="13.5" customHeight="1">
      <c r="C115" s="253"/>
      <c r="D115" s="181"/>
      <c r="G115" s="246"/>
      <c r="H115" s="246"/>
      <c r="I115" s="246"/>
      <c r="J115" s="246"/>
    </row>
    <row r="116" spans="3:10" ht="13.5" customHeight="1">
      <c r="C116" s="253"/>
      <c r="D116" s="181"/>
      <c r="G116" s="246"/>
      <c r="H116" s="246"/>
      <c r="I116" s="246"/>
      <c r="J116" s="246"/>
    </row>
    <row r="117" spans="3:10" ht="13.5" customHeight="1">
      <c r="C117" s="253"/>
      <c r="D117" s="181"/>
      <c r="G117" s="246"/>
      <c r="H117" s="246"/>
      <c r="I117" s="246"/>
      <c r="J117" s="246"/>
    </row>
    <row r="118" spans="3:10" ht="13.5" customHeight="1">
      <c r="C118" s="253"/>
      <c r="D118" s="181"/>
      <c r="G118" s="246"/>
      <c r="H118" s="246"/>
      <c r="I118" s="246"/>
      <c r="J118" s="246"/>
    </row>
    <row r="119" spans="3:10" ht="13.5" customHeight="1">
      <c r="C119" s="253"/>
      <c r="D119" s="181"/>
      <c r="G119" s="246"/>
      <c r="H119" s="246"/>
      <c r="I119" s="246"/>
      <c r="J119" s="246"/>
    </row>
    <row r="120" spans="3:10" ht="13.5" customHeight="1">
      <c r="C120" s="246"/>
      <c r="D120" s="246"/>
      <c r="G120" s="246"/>
      <c r="H120" s="246"/>
      <c r="I120" s="246"/>
      <c r="J120" s="246"/>
    </row>
    <row r="121" spans="3:10" ht="13.5" customHeight="1">
      <c r="C121" s="253"/>
      <c r="D121" s="181"/>
      <c r="G121" s="246"/>
      <c r="H121" s="246"/>
      <c r="I121" s="246"/>
      <c r="J121" s="246"/>
    </row>
    <row r="122" spans="3:10" ht="13.5" customHeight="1">
      <c r="C122" s="253"/>
      <c r="D122" s="246"/>
      <c r="G122" s="246"/>
      <c r="H122" s="246"/>
      <c r="I122" s="246"/>
      <c r="J122" s="246"/>
    </row>
    <row r="123" spans="3:10" ht="13.5" customHeight="1">
      <c r="C123" s="253"/>
      <c r="D123" s="246"/>
      <c r="G123" s="246"/>
      <c r="H123" s="246"/>
      <c r="I123" s="246"/>
      <c r="J123" s="246"/>
    </row>
    <row r="124" spans="3:10" ht="13.5" customHeight="1">
      <c r="C124" s="246"/>
      <c r="D124" s="246"/>
      <c r="G124" s="246"/>
      <c r="H124" s="246"/>
      <c r="I124" s="246"/>
      <c r="J124" s="246"/>
    </row>
    <row r="125" spans="3:10" ht="13.5" customHeight="1">
      <c r="C125" s="246"/>
      <c r="D125" s="246"/>
      <c r="G125" s="246"/>
      <c r="H125" s="246"/>
      <c r="I125" s="246"/>
      <c r="J125" s="246"/>
    </row>
    <row r="126" spans="3:10" ht="13.5" customHeight="1">
      <c r="C126" s="246"/>
      <c r="D126" s="246"/>
      <c r="G126" s="246"/>
      <c r="H126" s="246"/>
      <c r="I126" s="246"/>
      <c r="J126" s="246"/>
    </row>
    <row r="127" spans="3:10" ht="13.5" customHeight="1">
      <c r="C127" s="246"/>
      <c r="D127" s="246"/>
      <c r="G127" s="246"/>
      <c r="H127" s="246"/>
      <c r="I127" s="246"/>
      <c r="J127" s="246"/>
    </row>
    <row r="128" spans="3:10" ht="13.5" customHeight="1">
      <c r="C128" s="246"/>
      <c r="D128" s="246"/>
      <c r="G128" s="246"/>
      <c r="H128" s="246"/>
      <c r="I128" s="246"/>
      <c r="J128" s="246"/>
    </row>
    <row r="129" spans="3:10" ht="13.5" customHeight="1">
      <c r="C129" s="246"/>
      <c r="D129" s="246"/>
      <c r="G129" s="246"/>
      <c r="H129" s="246"/>
      <c r="I129" s="246"/>
      <c r="J129" s="246"/>
    </row>
    <row r="130" spans="3:10" ht="13.5" customHeight="1">
      <c r="C130" s="246"/>
      <c r="D130" s="246"/>
      <c r="G130" s="246"/>
      <c r="H130" s="246"/>
      <c r="I130" s="246"/>
      <c r="J130" s="246"/>
    </row>
    <row r="131" spans="3:10" ht="13.5" customHeight="1">
      <c r="C131" s="246"/>
      <c r="D131" s="246"/>
      <c r="G131" s="246"/>
      <c r="H131" s="246"/>
      <c r="I131" s="246"/>
      <c r="J131" s="2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125" zoomScaleNormal="125" workbookViewId="0" topLeftCell="A67">
      <selection activeCell="F113" sqref="F113"/>
    </sheetView>
  </sheetViews>
  <sheetFormatPr defaultColWidth="11.00390625" defaultRowHeight="13.5" customHeight="1" outlineLevelRow="1"/>
  <cols>
    <col min="1" max="1" width="5.25390625" style="177" customWidth="1"/>
    <col min="2" max="2" width="15.00390625" style="339" customWidth="1"/>
    <col min="3" max="5" width="12.00390625" style="177" customWidth="1"/>
    <col min="6" max="6" width="12.00390625" style="246" customWidth="1"/>
    <col min="7" max="7" width="9.75390625" style="181" customWidth="1"/>
    <col min="8" max="9" width="8.875" style="177" customWidth="1"/>
    <col min="10" max="11" width="8.75390625" style="177" customWidth="1"/>
    <col min="12" max="16384" width="10.75390625" style="177" customWidth="1"/>
  </cols>
  <sheetData>
    <row r="1" spans="1:11" ht="13.5" customHeight="1">
      <c r="A1" s="290" t="s">
        <v>71</v>
      </c>
      <c r="C1" s="290"/>
      <c r="D1" s="290"/>
      <c r="E1" s="290"/>
      <c r="F1" s="290"/>
      <c r="G1" s="290"/>
      <c r="H1" s="297"/>
      <c r="I1" s="290"/>
      <c r="J1" s="290"/>
      <c r="K1" s="290"/>
    </row>
    <row r="2" spans="2:11" ht="13.5" customHeight="1" hidden="1" outlineLevel="1">
      <c r="B2" s="291" t="s">
        <v>72</v>
      </c>
      <c r="C2" s="291" t="s">
        <v>73</v>
      </c>
      <c r="D2" s="291"/>
      <c r="E2" s="291"/>
      <c r="F2" s="291"/>
      <c r="G2" s="291"/>
      <c r="H2" s="297"/>
      <c r="I2" s="291"/>
      <c r="J2" s="291"/>
      <c r="K2" s="291"/>
    </row>
    <row r="3" spans="2:11" ht="13.5" customHeight="1" hidden="1" outlineLevel="1">
      <c r="B3" s="291">
        <v>70</v>
      </c>
      <c r="C3" s="291">
        <v>10</v>
      </c>
      <c r="D3" s="291"/>
      <c r="E3" s="291"/>
      <c r="F3" s="291"/>
      <c r="G3" s="291"/>
      <c r="H3" s="297"/>
      <c r="I3" s="291"/>
      <c r="J3" s="291"/>
      <c r="K3" s="291"/>
    </row>
    <row r="4" spans="2:11" ht="13.5" customHeight="1" hidden="1" outlineLevel="1">
      <c r="B4" s="291"/>
      <c r="C4" s="291"/>
      <c r="D4" s="291"/>
      <c r="E4" s="291"/>
      <c r="F4" s="291"/>
      <c r="G4" s="291"/>
      <c r="H4" s="297"/>
      <c r="I4" s="291"/>
      <c r="J4" s="291"/>
      <c r="K4" s="291"/>
    </row>
    <row r="5" spans="2:13" ht="13.5" customHeight="1" hidden="1" outlineLevel="1">
      <c r="B5" s="291" t="s">
        <v>74</v>
      </c>
      <c r="C5" s="291">
        <v>-3</v>
      </c>
      <c r="D5" s="291">
        <v>-1</v>
      </c>
      <c r="E5" s="291">
        <v>1</v>
      </c>
      <c r="F5" s="291">
        <v>3</v>
      </c>
      <c r="G5" s="291"/>
      <c r="H5" s="297"/>
      <c r="I5" s="291" t="s">
        <v>74</v>
      </c>
      <c r="J5" s="291">
        <f>3</f>
        <v>3</v>
      </c>
      <c r="K5" s="291">
        <v>-1</v>
      </c>
      <c r="L5" s="291">
        <v>1</v>
      </c>
      <c r="M5" s="291">
        <v>3</v>
      </c>
    </row>
    <row r="6" spans="2:13" ht="13.5" customHeight="1" hidden="1" outlineLevel="1">
      <c r="B6" s="291">
        <v>1</v>
      </c>
      <c r="C6" s="291" t="s">
        <v>101</v>
      </c>
      <c r="D6" s="291" t="s">
        <v>102</v>
      </c>
      <c r="E6" s="291" t="s">
        <v>103</v>
      </c>
      <c r="F6" s="291" t="s">
        <v>12</v>
      </c>
      <c r="G6" s="291"/>
      <c r="H6" s="297"/>
      <c r="I6" s="291">
        <v>1</v>
      </c>
      <c r="J6" s="291" t="s">
        <v>101</v>
      </c>
      <c r="K6" s="291" t="s">
        <v>102</v>
      </c>
      <c r="L6" s="291" t="s">
        <v>103</v>
      </c>
      <c r="M6" s="291" t="s">
        <v>104</v>
      </c>
    </row>
    <row r="7" spans="2:13" ht="13.5" customHeight="1" hidden="1" outlineLevel="1">
      <c r="B7" s="292"/>
      <c r="C7" s="301">
        <v>58</v>
      </c>
      <c r="D7" s="301">
        <v>78</v>
      </c>
      <c r="E7" s="301">
        <v>64</v>
      </c>
      <c r="F7" s="301">
        <v>87</v>
      </c>
      <c r="G7" s="292"/>
      <c r="H7" s="294"/>
      <c r="I7" s="292"/>
      <c r="J7" s="301">
        <f aca="true" ca="1" t="shared" si="0" ref="J7:M21">ROUND(NORMSINV(RAND())*$C$3+$B$3+J$5,0)</f>
        <v>71</v>
      </c>
      <c r="K7" s="301">
        <f ca="1" t="shared" si="0"/>
        <v>72</v>
      </c>
      <c r="L7" s="301">
        <f ca="1" t="shared" si="0"/>
        <v>72</v>
      </c>
      <c r="M7" s="301">
        <f ca="1" t="shared" si="0"/>
        <v>85</v>
      </c>
    </row>
    <row r="8" spans="2:13" ht="13.5" customHeight="1" hidden="1" outlineLevel="1">
      <c r="B8" s="292"/>
      <c r="C8" s="301">
        <v>59</v>
      </c>
      <c r="D8" s="301">
        <v>65</v>
      </c>
      <c r="E8" s="301">
        <v>67</v>
      </c>
      <c r="F8" s="301">
        <v>78</v>
      </c>
      <c r="G8" s="292"/>
      <c r="H8" s="294"/>
      <c r="I8" s="292"/>
      <c r="J8" s="301">
        <f ca="1" t="shared" si="0"/>
        <v>71</v>
      </c>
      <c r="K8" s="301">
        <f ca="1" t="shared" si="0"/>
        <v>61</v>
      </c>
      <c r="L8" s="301">
        <f ca="1" t="shared" si="0"/>
        <v>57</v>
      </c>
      <c r="M8" s="301">
        <f ca="1" t="shared" si="0"/>
        <v>56</v>
      </c>
    </row>
    <row r="9" spans="2:13" ht="13.5" customHeight="1" hidden="1" outlineLevel="1">
      <c r="B9" s="292"/>
      <c r="C9" s="301">
        <v>60</v>
      </c>
      <c r="D9" s="301">
        <v>71</v>
      </c>
      <c r="E9" s="301">
        <v>61</v>
      </c>
      <c r="F9" s="301">
        <v>80</v>
      </c>
      <c r="G9" s="292"/>
      <c r="H9" s="294"/>
      <c r="I9" s="292"/>
      <c r="J9" s="301">
        <f ca="1" t="shared" si="0"/>
        <v>84</v>
      </c>
      <c r="K9" s="301">
        <f ca="1" t="shared" si="0"/>
        <v>78</v>
      </c>
      <c r="L9" s="301">
        <f ca="1" t="shared" si="0"/>
        <v>69</v>
      </c>
      <c r="M9" s="301">
        <f ca="1" t="shared" si="0"/>
        <v>82</v>
      </c>
    </row>
    <row r="10" spans="2:13" ht="13.5" customHeight="1" hidden="1" outlineLevel="1">
      <c r="B10" s="292"/>
      <c r="C10" s="301">
        <v>71</v>
      </c>
      <c r="D10" s="301">
        <v>76</v>
      </c>
      <c r="E10" s="301">
        <v>76</v>
      </c>
      <c r="F10" s="301">
        <v>70</v>
      </c>
      <c r="G10" s="292"/>
      <c r="H10" s="294"/>
      <c r="I10" s="292"/>
      <c r="J10" s="301">
        <f ca="1" t="shared" si="0"/>
        <v>67</v>
      </c>
      <c r="K10" s="301">
        <f ca="1" t="shared" si="0"/>
        <v>84</v>
      </c>
      <c r="L10" s="301">
        <f ca="1" t="shared" si="0"/>
        <v>65</v>
      </c>
      <c r="M10" s="301">
        <f ca="1" t="shared" si="0"/>
        <v>60</v>
      </c>
    </row>
    <row r="11" spans="2:13" ht="13.5" customHeight="1" hidden="1" outlineLevel="1">
      <c r="B11" s="292"/>
      <c r="C11" s="301">
        <v>69</v>
      </c>
      <c r="D11" s="301">
        <v>78</v>
      </c>
      <c r="E11" s="301">
        <v>81</v>
      </c>
      <c r="F11" s="301">
        <v>69</v>
      </c>
      <c r="G11" s="292"/>
      <c r="H11" s="294"/>
      <c r="I11" s="292"/>
      <c r="J11" s="301">
        <f ca="1" t="shared" si="0"/>
        <v>89</v>
      </c>
      <c r="K11" s="301">
        <f ca="1" t="shared" si="0"/>
        <v>43</v>
      </c>
      <c r="L11" s="301">
        <f ca="1" t="shared" si="0"/>
        <v>70</v>
      </c>
      <c r="M11" s="301">
        <f ca="1" t="shared" si="0"/>
        <v>61</v>
      </c>
    </row>
    <row r="12" spans="2:13" ht="13.5" customHeight="1" hidden="1" outlineLevel="1">
      <c r="B12" s="292"/>
      <c r="C12" s="301">
        <v>73</v>
      </c>
      <c r="D12" s="301">
        <v>53</v>
      </c>
      <c r="E12" s="301">
        <v>75</v>
      </c>
      <c r="F12" s="301">
        <v>80</v>
      </c>
      <c r="G12" s="292"/>
      <c r="H12" s="294"/>
      <c r="I12" s="292"/>
      <c r="J12" s="301">
        <f ca="1" t="shared" si="0"/>
        <v>79</v>
      </c>
      <c r="K12" s="301">
        <f ca="1" t="shared" si="0"/>
        <v>54</v>
      </c>
      <c r="L12" s="301">
        <f ca="1" t="shared" si="0"/>
        <v>57</v>
      </c>
      <c r="M12" s="301">
        <f ca="1" t="shared" si="0"/>
        <v>84</v>
      </c>
    </row>
    <row r="13" spans="2:13" ht="13.5" customHeight="1" hidden="1" outlineLevel="1">
      <c r="B13" s="292"/>
      <c r="C13" s="301">
        <v>81</v>
      </c>
      <c r="D13" s="301">
        <v>64</v>
      </c>
      <c r="E13" s="301">
        <v>71</v>
      </c>
      <c r="F13" s="301">
        <v>70</v>
      </c>
      <c r="G13" s="292"/>
      <c r="H13" s="294"/>
      <c r="I13" s="292"/>
      <c r="J13" s="301">
        <f ca="1" t="shared" si="0"/>
        <v>85</v>
      </c>
      <c r="K13" s="301">
        <f ca="1" t="shared" si="0"/>
        <v>74</v>
      </c>
      <c r="L13" s="301">
        <f ca="1" t="shared" si="0"/>
        <v>67</v>
      </c>
      <c r="M13" s="301">
        <f ca="1" t="shared" si="0"/>
        <v>70</v>
      </c>
    </row>
    <row r="14" spans="2:13" ht="13.5" customHeight="1" hidden="1" outlineLevel="1">
      <c r="B14" s="292"/>
      <c r="C14" s="301">
        <v>48</v>
      </c>
      <c r="D14" s="301">
        <v>79</v>
      </c>
      <c r="E14" s="301">
        <v>56</v>
      </c>
      <c r="F14" s="301">
        <v>76</v>
      </c>
      <c r="G14" s="292"/>
      <c r="H14" s="294"/>
      <c r="I14" s="292"/>
      <c r="J14" s="301">
        <f ca="1" t="shared" si="0"/>
        <v>104</v>
      </c>
      <c r="K14" s="301">
        <f ca="1" t="shared" si="0"/>
        <v>81</v>
      </c>
      <c r="L14" s="301">
        <f ca="1" t="shared" si="0"/>
        <v>59</v>
      </c>
      <c r="M14" s="301">
        <f ca="1" t="shared" si="0"/>
        <v>76</v>
      </c>
    </row>
    <row r="15" spans="2:13" ht="13.5" customHeight="1" hidden="1" outlineLevel="1">
      <c r="B15" s="292"/>
      <c r="C15" s="301">
        <v>73</v>
      </c>
      <c r="D15" s="301">
        <v>78</v>
      </c>
      <c r="E15" s="301">
        <v>74</v>
      </c>
      <c r="F15" s="301">
        <v>64</v>
      </c>
      <c r="G15" s="292"/>
      <c r="H15" s="294"/>
      <c r="I15" s="292"/>
      <c r="J15" s="301">
        <f ca="1" t="shared" si="0"/>
        <v>63</v>
      </c>
      <c r="K15" s="301">
        <f ca="1" t="shared" si="0"/>
        <v>81</v>
      </c>
      <c r="L15" s="301">
        <f ca="1" t="shared" si="0"/>
        <v>77</v>
      </c>
      <c r="M15" s="301">
        <f ca="1" t="shared" si="0"/>
        <v>83</v>
      </c>
    </row>
    <row r="16" spans="2:13" ht="13.5" customHeight="1" hidden="1" outlineLevel="1">
      <c r="B16" s="292"/>
      <c r="C16" s="301">
        <v>65</v>
      </c>
      <c r="D16" s="301">
        <v>71</v>
      </c>
      <c r="E16" s="301">
        <v>67</v>
      </c>
      <c r="F16" s="301">
        <v>81</v>
      </c>
      <c r="G16" s="292"/>
      <c r="H16" s="294"/>
      <c r="I16" s="292"/>
      <c r="J16" s="301">
        <f ca="1" t="shared" si="0"/>
        <v>71</v>
      </c>
      <c r="K16" s="301">
        <f ca="1" t="shared" si="0"/>
        <v>54</v>
      </c>
      <c r="L16" s="301">
        <f ca="1" t="shared" si="0"/>
        <v>77</v>
      </c>
      <c r="M16" s="301">
        <f ca="1" t="shared" si="0"/>
        <v>65</v>
      </c>
    </row>
    <row r="17" spans="2:13" ht="13.5" customHeight="1" hidden="1" outlineLevel="1">
      <c r="B17" s="292"/>
      <c r="C17" s="301">
        <v>66</v>
      </c>
      <c r="D17" s="301">
        <v>71</v>
      </c>
      <c r="E17" s="301">
        <v>77</v>
      </c>
      <c r="F17" s="301">
        <v>68</v>
      </c>
      <c r="G17" s="292"/>
      <c r="H17" s="294"/>
      <c r="I17" s="292"/>
      <c r="J17" s="301">
        <f ca="1" t="shared" si="0"/>
        <v>79</v>
      </c>
      <c r="K17" s="301">
        <f ca="1" t="shared" si="0"/>
        <v>63</v>
      </c>
      <c r="L17" s="301">
        <f ca="1" t="shared" si="0"/>
        <v>87</v>
      </c>
      <c r="M17" s="301">
        <f ca="1" t="shared" si="0"/>
        <v>84</v>
      </c>
    </row>
    <row r="18" spans="2:13" ht="13.5" customHeight="1" hidden="1" outlineLevel="1">
      <c r="B18" s="292"/>
      <c r="C18" s="301">
        <v>56</v>
      </c>
      <c r="D18" s="301">
        <v>47</v>
      </c>
      <c r="E18" s="301">
        <v>70</v>
      </c>
      <c r="F18" s="301">
        <v>77</v>
      </c>
      <c r="G18" s="292"/>
      <c r="H18" s="294"/>
      <c r="I18" s="292"/>
      <c r="J18" s="301">
        <f ca="1" t="shared" si="0"/>
        <v>64</v>
      </c>
      <c r="K18" s="301">
        <f ca="1" t="shared" si="0"/>
        <v>74</v>
      </c>
      <c r="L18" s="301">
        <f ca="1" t="shared" si="0"/>
        <v>76</v>
      </c>
      <c r="M18" s="301">
        <f ca="1" t="shared" si="0"/>
        <v>62</v>
      </c>
    </row>
    <row r="19" spans="2:13" ht="13.5" customHeight="1" hidden="1" outlineLevel="1">
      <c r="B19" s="292"/>
      <c r="C19" s="301">
        <v>62</v>
      </c>
      <c r="D19" s="301">
        <v>72</v>
      </c>
      <c r="E19" s="301">
        <v>69</v>
      </c>
      <c r="F19" s="301">
        <v>73</v>
      </c>
      <c r="G19" s="292"/>
      <c r="H19" s="294"/>
      <c r="I19" s="292"/>
      <c r="J19" s="301">
        <f ca="1" t="shared" si="0"/>
        <v>79</v>
      </c>
      <c r="K19" s="301">
        <f ca="1" t="shared" si="0"/>
        <v>69</v>
      </c>
      <c r="L19" s="301">
        <f ca="1" t="shared" si="0"/>
        <v>65</v>
      </c>
      <c r="M19" s="301">
        <f ca="1" t="shared" si="0"/>
        <v>86</v>
      </c>
    </row>
    <row r="20" spans="2:13" ht="13.5" customHeight="1" hidden="1" outlineLevel="1">
      <c r="B20" s="292"/>
      <c r="C20" s="301">
        <v>58</v>
      </c>
      <c r="D20" s="301">
        <v>75</v>
      </c>
      <c r="E20" s="301">
        <v>81</v>
      </c>
      <c r="F20" s="301">
        <v>65</v>
      </c>
      <c r="G20" s="292"/>
      <c r="H20" s="294"/>
      <c r="I20" s="292"/>
      <c r="J20" s="301">
        <f ca="1" t="shared" si="0"/>
        <v>69</v>
      </c>
      <c r="K20" s="301">
        <f ca="1" t="shared" si="0"/>
        <v>61</v>
      </c>
      <c r="L20" s="301">
        <f ca="1" t="shared" si="0"/>
        <v>82</v>
      </c>
      <c r="M20" s="301">
        <f ca="1" t="shared" si="0"/>
        <v>66</v>
      </c>
    </row>
    <row r="21" spans="2:13" ht="13.5" customHeight="1" hidden="1" outlineLevel="1">
      <c r="B21" s="292"/>
      <c r="C21" s="301">
        <v>64</v>
      </c>
      <c r="D21" s="301">
        <v>91</v>
      </c>
      <c r="E21" s="301">
        <v>70</v>
      </c>
      <c r="F21" s="301">
        <v>86</v>
      </c>
      <c r="G21" s="292"/>
      <c r="H21" s="294"/>
      <c r="I21" s="292"/>
      <c r="J21" s="301">
        <f ca="1" t="shared" si="0"/>
        <v>69</v>
      </c>
      <c r="K21" s="301">
        <f ca="1" t="shared" si="0"/>
        <v>66</v>
      </c>
      <c r="L21" s="301">
        <f ca="1" t="shared" si="0"/>
        <v>61</v>
      </c>
      <c r="M21" s="301">
        <f ca="1" t="shared" si="0"/>
        <v>70</v>
      </c>
    </row>
    <row r="22" spans="2:13" ht="13.5" customHeight="1" hidden="1" outlineLevel="1">
      <c r="B22" s="292"/>
      <c r="C22" s="301">
        <v>63</v>
      </c>
      <c r="D22" s="293"/>
      <c r="E22" s="301">
        <v>74</v>
      </c>
      <c r="F22" s="301">
        <v>63</v>
      </c>
      <c r="G22" s="292"/>
      <c r="H22" s="294"/>
      <c r="I22" s="292"/>
      <c r="J22" s="301">
        <f ca="1">ROUND(NORMSINV(RAND())*$C$3+$B$3+J$5,0)</f>
        <v>74</v>
      </c>
      <c r="K22" s="293"/>
      <c r="L22" s="301">
        <f ca="1">ROUND(NORMSINV(RAND())*$C$3+$B$3+L$5,0)</f>
        <v>66</v>
      </c>
      <c r="M22" s="301">
        <f ca="1">ROUND(NORMSINV(RAND())*$C$3+$B$3+M$5,0)</f>
        <v>73</v>
      </c>
    </row>
    <row r="23" spans="2:13" ht="13.5" customHeight="1" hidden="1" outlineLevel="1">
      <c r="B23" s="292"/>
      <c r="C23" s="301">
        <v>57</v>
      </c>
      <c r="D23" s="293"/>
      <c r="E23" s="301">
        <v>89</v>
      </c>
      <c r="F23" s="301">
        <v>97</v>
      </c>
      <c r="G23" s="292"/>
      <c r="H23" s="294"/>
      <c r="I23" s="292"/>
      <c r="J23" s="301">
        <f ca="1">ROUND(NORMSINV(RAND())*$C$3+$B$3+J$5,0)</f>
        <v>80</v>
      </c>
      <c r="K23" s="293"/>
      <c r="L23" s="301">
        <f ca="1">ROUND(NORMSINV(RAND())*$C$3+$B$3+L$5,0)</f>
        <v>75</v>
      </c>
      <c r="M23" s="301">
        <f ca="1">ROUND(NORMSINV(RAND())*$C$3+$B$3+M$5,0)</f>
        <v>74</v>
      </c>
    </row>
    <row r="24" spans="2:13" ht="13.5" customHeight="1" hidden="1" outlineLevel="1">
      <c r="B24" s="292"/>
      <c r="C24" s="301">
        <v>61</v>
      </c>
      <c r="D24" s="293"/>
      <c r="E24" s="301"/>
      <c r="F24" s="301">
        <v>91</v>
      </c>
      <c r="G24" s="292"/>
      <c r="H24" s="294"/>
      <c r="I24" s="292"/>
      <c r="J24" s="301">
        <f ca="1">ROUND(NORMSINV(RAND())*$C$3+$B$3+J$5,0)</f>
        <v>84</v>
      </c>
      <c r="K24" s="293"/>
      <c r="L24" s="301"/>
      <c r="M24" s="301">
        <f aca="true" ca="1" t="shared" si="1" ref="M24:M30">ROUND(NORMSINV(RAND())*$C$3+$B$3+M$5,0)</f>
        <v>63</v>
      </c>
    </row>
    <row r="25" spans="2:13" ht="13.5" customHeight="1" hidden="1" outlineLevel="1">
      <c r="B25" s="292"/>
      <c r="C25" s="301">
        <v>78</v>
      </c>
      <c r="D25" s="293"/>
      <c r="E25" s="301"/>
      <c r="F25" s="301">
        <v>75</v>
      </c>
      <c r="G25" s="292"/>
      <c r="H25" s="294"/>
      <c r="I25" s="292"/>
      <c r="J25" s="301">
        <f ca="1">ROUND(NORMSINV(RAND())*$C$3+$B$3+J$5,0)</f>
        <v>78</v>
      </c>
      <c r="K25" s="293"/>
      <c r="L25" s="301"/>
      <c r="M25" s="301">
        <f ca="1" t="shared" si="1"/>
        <v>63</v>
      </c>
    </row>
    <row r="26" spans="2:13" ht="13.5" customHeight="1" hidden="1" outlineLevel="1">
      <c r="B26" s="292"/>
      <c r="C26" s="301">
        <v>66</v>
      </c>
      <c r="D26" s="293"/>
      <c r="E26" s="301"/>
      <c r="F26" s="301">
        <v>65</v>
      </c>
      <c r="G26" s="292"/>
      <c r="H26" s="294"/>
      <c r="I26" s="292"/>
      <c r="J26" s="301">
        <f ca="1">ROUND(NORMSINV(RAND())*$C$3+$B$3+J$5,0)</f>
        <v>89</v>
      </c>
      <c r="K26" s="293"/>
      <c r="L26" s="301"/>
      <c r="M26" s="301">
        <f ca="1" t="shared" si="1"/>
        <v>82</v>
      </c>
    </row>
    <row r="27" spans="2:13" ht="13.5" customHeight="1" hidden="1" outlineLevel="1">
      <c r="B27" s="292"/>
      <c r="C27" s="293"/>
      <c r="D27" s="293"/>
      <c r="E27" s="301"/>
      <c r="F27" s="301">
        <v>59</v>
      </c>
      <c r="G27" s="292"/>
      <c r="H27" s="294"/>
      <c r="I27" s="292"/>
      <c r="J27" s="293"/>
      <c r="K27" s="293"/>
      <c r="L27" s="301"/>
      <c r="M27" s="301">
        <f ca="1" t="shared" si="1"/>
        <v>87</v>
      </c>
    </row>
    <row r="28" spans="2:13" ht="13.5" customHeight="1" hidden="1" outlineLevel="1">
      <c r="B28" s="292"/>
      <c r="C28" s="293"/>
      <c r="D28" s="293"/>
      <c r="E28" s="301"/>
      <c r="F28" s="301">
        <v>74</v>
      </c>
      <c r="G28" s="292"/>
      <c r="H28" s="294"/>
      <c r="I28" s="292"/>
      <c r="J28" s="293"/>
      <c r="K28" s="293"/>
      <c r="L28" s="301"/>
      <c r="M28" s="301">
        <f ca="1" t="shared" si="1"/>
        <v>86</v>
      </c>
    </row>
    <row r="29" spans="2:13" ht="13.5" customHeight="1" hidden="1" outlineLevel="1">
      <c r="B29" s="292"/>
      <c r="C29" s="293"/>
      <c r="D29" s="293"/>
      <c r="E29" s="301"/>
      <c r="F29" s="301">
        <v>77</v>
      </c>
      <c r="G29" s="292"/>
      <c r="H29" s="294"/>
      <c r="I29" s="292"/>
      <c r="J29" s="293"/>
      <c r="K29" s="293"/>
      <c r="L29" s="301"/>
      <c r="M29" s="301">
        <f ca="1" t="shared" si="1"/>
        <v>81</v>
      </c>
    </row>
    <row r="30" spans="2:13" ht="13.5" customHeight="1" hidden="1" outlineLevel="1">
      <c r="B30" s="292"/>
      <c r="C30" s="293"/>
      <c r="D30" s="293"/>
      <c r="E30" s="301"/>
      <c r="F30" s="301">
        <v>79</v>
      </c>
      <c r="G30" s="292"/>
      <c r="H30" s="294"/>
      <c r="I30" s="292"/>
      <c r="J30" s="293"/>
      <c r="K30" s="293"/>
      <c r="L30" s="301"/>
      <c r="M30" s="301">
        <f ca="1" t="shared" si="1"/>
        <v>74</v>
      </c>
    </row>
    <row r="31" spans="1:11" ht="13.5" customHeight="1" collapsed="1" thickBot="1">
      <c r="A31" s="294" t="s">
        <v>75</v>
      </c>
      <c r="C31" s="330" t="s">
        <v>101</v>
      </c>
      <c r="D31" s="330" t="s">
        <v>102</v>
      </c>
      <c r="E31" s="330" t="s">
        <v>103</v>
      </c>
      <c r="F31" s="330" t="s">
        <v>12</v>
      </c>
      <c r="G31" s="363" t="s">
        <v>316</v>
      </c>
      <c r="H31" s="294"/>
      <c r="I31" s="292"/>
      <c r="J31" s="291"/>
      <c r="K31" s="291"/>
    </row>
    <row r="32" spans="2:11" ht="13.5" customHeight="1" thickBot="1">
      <c r="B32" s="295" t="s">
        <v>76</v>
      </c>
      <c r="C32" s="306">
        <f>COUNT(C7:C29)</f>
        <v>20</v>
      </c>
      <c r="D32" s="362">
        <f>COUNT(D7:D29)</f>
        <v>15</v>
      </c>
      <c r="E32" s="306">
        <f>COUNT(E7:E29)</f>
        <v>17</v>
      </c>
      <c r="F32" s="306">
        <f>COUNT(F7:F29)</f>
        <v>23</v>
      </c>
      <c r="G32" s="360">
        <f>SUM(C32:F32)</f>
        <v>75</v>
      </c>
      <c r="H32" s="367" t="s">
        <v>77</v>
      </c>
      <c r="I32" s="292"/>
      <c r="J32" s="291"/>
      <c r="K32" s="291"/>
    </row>
    <row r="33" spans="2:11" ht="13.5" customHeight="1" thickBot="1">
      <c r="B33" s="295" t="s">
        <v>78</v>
      </c>
      <c r="C33" s="358">
        <f>SUM(C7:C29)</f>
        <v>1288</v>
      </c>
      <c r="D33" s="305">
        <f>SUM(D7:D29)</f>
        <v>1069</v>
      </c>
      <c r="E33" s="305">
        <f>SUM(E7:E29)</f>
        <v>1222</v>
      </c>
      <c r="F33" s="305">
        <f>SUM(F7:F29)</f>
        <v>1725</v>
      </c>
      <c r="G33" s="361">
        <f>SUM(C33:F33)</f>
        <v>5304</v>
      </c>
      <c r="H33" s="368" t="s">
        <v>79</v>
      </c>
      <c r="I33" s="292"/>
      <c r="J33" s="291"/>
      <c r="K33" s="291"/>
    </row>
    <row r="34" spans="2:14" ht="13.5" customHeight="1" thickBot="1">
      <c r="B34" s="295" t="s">
        <v>105</v>
      </c>
      <c r="C34" s="359">
        <f>C33^2/C32</f>
        <v>82947.2</v>
      </c>
      <c r="D34" s="305">
        <f>D33^2/D32</f>
        <v>76184.06666666667</v>
      </c>
      <c r="E34" s="305">
        <f>E33^2/E32</f>
        <v>87840.23529411765</v>
      </c>
      <c r="F34" s="305">
        <f>F33^2/F32</f>
        <v>129375</v>
      </c>
      <c r="G34" s="364">
        <f>SUM(C34:F34)</f>
        <v>376346.5019607843</v>
      </c>
      <c r="H34" s="294"/>
      <c r="I34" s="292"/>
      <c r="J34" s="291"/>
      <c r="K34" s="291"/>
      <c r="L34" s="253"/>
      <c r="M34" s="253"/>
      <c r="N34" s="253"/>
    </row>
    <row r="35" spans="2:14" ht="13.5" customHeight="1">
      <c r="B35" s="295" t="s">
        <v>83</v>
      </c>
      <c r="C35" s="305">
        <f>AVERAGE(C7:C29)</f>
        <v>64.4</v>
      </c>
      <c r="D35" s="305">
        <f>AVERAGE(D7:D29)</f>
        <v>71.26666666666667</v>
      </c>
      <c r="E35" s="305">
        <f>AVERAGE(E7:E29)</f>
        <v>71.88235294117646</v>
      </c>
      <c r="F35" s="305">
        <f>AVERAGE(F7:F29)</f>
        <v>75</v>
      </c>
      <c r="G35" s="303"/>
      <c r="H35" s="294"/>
      <c r="I35" s="292"/>
      <c r="J35" s="291"/>
      <c r="K35" s="291"/>
      <c r="L35" s="253"/>
      <c r="M35" s="253"/>
      <c r="N35" s="253"/>
    </row>
    <row r="36" spans="2:14" ht="13.5" customHeight="1" thickBot="1">
      <c r="B36" s="295" t="s">
        <v>84</v>
      </c>
      <c r="C36" s="305">
        <f>SUMSQ(C7:C29)</f>
        <v>84170</v>
      </c>
      <c r="D36" s="305">
        <f>SUMSQ(D7:D29)</f>
        <v>77821</v>
      </c>
      <c r="E36" s="305">
        <f>SUMSQ(E7:E29)</f>
        <v>88858</v>
      </c>
      <c r="F36" s="305">
        <f>SUMSQ(F7:F29)</f>
        <v>131345</v>
      </c>
      <c r="G36" s="303">
        <f>SUM(C36:F36)</f>
        <v>382194</v>
      </c>
      <c r="H36" s="294"/>
      <c r="I36" s="292"/>
      <c r="J36" s="291"/>
      <c r="K36" s="291"/>
      <c r="L36" s="253"/>
      <c r="M36" s="253"/>
      <c r="N36" s="253"/>
    </row>
    <row r="37" spans="2:14" ht="13.5" customHeight="1">
      <c r="B37" s="295" t="s">
        <v>85</v>
      </c>
      <c r="C37" s="358">
        <f>C36-C34</f>
        <v>1222.800000000003</v>
      </c>
      <c r="D37" s="305">
        <f>D36-D34</f>
        <v>1636.9333333333343</v>
      </c>
      <c r="E37" s="305">
        <f>E36-E34</f>
        <v>1017.7647058823495</v>
      </c>
      <c r="F37" s="305">
        <f>F36-F34</f>
        <v>1970</v>
      </c>
      <c r="G37" s="365">
        <f>SUM(C37:F37)</f>
        <v>5847.498039215687</v>
      </c>
      <c r="H37" s="367" t="s">
        <v>23</v>
      </c>
      <c r="I37" s="292"/>
      <c r="J37" s="291"/>
      <c r="K37" s="291"/>
      <c r="L37" s="253"/>
      <c r="M37" s="253"/>
      <c r="N37" s="253"/>
    </row>
    <row r="38" spans="2:14" ht="13.5" customHeight="1" thickBot="1">
      <c r="B38" s="295" t="s">
        <v>112</v>
      </c>
      <c r="C38" s="361">
        <f>C32-1</f>
        <v>19</v>
      </c>
      <c r="D38" s="306">
        <f>D32-1</f>
        <v>14</v>
      </c>
      <c r="E38" s="306">
        <f>E32-1</f>
        <v>16</v>
      </c>
      <c r="F38" s="306">
        <f>F32-1</f>
        <v>22</v>
      </c>
      <c r="G38" s="366">
        <f>SUM(C38:F38)</f>
        <v>71</v>
      </c>
      <c r="H38" s="368" t="s">
        <v>114</v>
      </c>
      <c r="I38" s="292"/>
      <c r="J38" s="291"/>
      <c r="K38" s="291"/>
      <c r="L38" s="253"/>
      <c r="M38" s="253"/>
      <c r="N38" s="253"/>
    </row>
    <row r="39" spans="2:14" ht="13.5" customHeight="1" thickBot="1">
      <c r="B39" s="295" t="s">
        <v>86</v>
      </c>
      <c r="C39" s="359">
        <f>C37/C38</f>
        <v>64.35789473684225</v>
      </c>
      <c r="D39" s="305">
        <f>D37/D38</f>
        <v>116.9238095238096</v>
      </c>
      <c r="E39" s="305">
        <f>E37/E38</f>
        <v>63.610294117646845</v>
      </c>
      <c r="F39" s="305">
        <f>F37/F38</f>
        <v>89.54545454545455</v>
      </c>
      <c r="G39" s="307">
        <f>SUMPRODUCT(C40:F40,C39:F39)</f>
        <v>82.35912731289699</v>
      </c>
      <c r="H39" s="294" t="s">
        <v>24</v>
      </c>
      <c r="I39" s="292"/>
      <c r="J39" s="291"/>
      <c r="K39" s="291"/>
      <c r="L39" s="253"/>
      <c r="M39" s="253"/>
      <c r="N39" s="253"/>
    </row>
    <row r="40" spans="2:14" ht="13.5" customHeight="1">
      <c r="B40" s="295" t="s">
        <v>111</v>
      </c>
      <c r="C40" s="307">
        <f>C38/SUM($C$38:$F$38)</f>
        <v>0.2676056338028169</v>
      </c>
      <c r="D40" s="307">
        <f>D38/SUM($C$38:$F$38)</f>
        <v>0.19718309859154928</v>
      </c>
      <c r="E40" s="307">
        <f>E38/SUM($C$38:$F$38)</f>
        <v>0.22535211267605634</v>
      </c>
      <c r="F40" s="307">
        <f>F38/SUM($C$38:$F$38)</f>
        <v>0.30985915492957744</v>
      </c>
      <c r="G40" s="303">
        <f>SUM(C40:F40)</f>
        <v>1</v>
      </c>
      <c r="H40" s="294"/>
      <c r="I40" s="292"/>
      <c r="J40" s="291"/>
      <c r="K40" s="291"/>
      <c r="L40" s="253"/>
      <c r="M40" s="253"/>
      <c r="N40" s="253"/>
    </row>
    <row r="41" spans="2:14" ht="13.5" customHeight="1">
      <c r="B41" s="295" t="s">
        <v>110</v>
      </c>
      <c r="C41" s="302">
        <f>SQRT(C39/C32)</f>
        <v>1.793849139934045</v>
      </c>
      <c r="D41" s="302">
        <f>SQRT(D39/D32)</f>
        <v>2.791938508441875</v>
      </c>
      <c r="E41" s="302">
        <f>SQRT(E39/E32)</f>
        <v>1.9343686326345355</v>
      </c>
      <c r="F41" s="302">
        <f>SQRT(F39/F32)</f>
        <v>1.9731397903876622</v>
      </c>
      <c r="G41" s="303"/>
      <c r="H41" s="294"/>
      <c r="I41" s="292"/>
      <c r="J41" s="291"/>
      <c r="K41" s="291"/>
      <c r="L41" s="253"/>
      <c r="M41" s="253"/>
      <c r="N41" s="253"/>
    </row>
    <row r="42" spans="2:14" ht="13.5" customHeight="1">
      <c r="B42" s="295" t="s">
        <v>113</v>
      </c>
      <c r="C42" s="302">
        <f>SQRT($G$39/C32)</f>
        <v>2.029274837385229</v>
      </c>
      <c r="D42" s="302">
        <f>SQRT($G$39/D32)</f>
        <v>2.3432047472481927</v>
      </c>
      <c r="E42" s="302">
        <f>SQRT($G$39/E32)</f>
        <v>2.2010575975692843</v>
      </c>
      <c r="F42" s="302">
        <f>SQRT($G$39/F32)</f>
        <v>1.8923085431028073</v>
      </c>
      <c r="G42" s="303"/>
      <c r="H42" s="294"/>
      <c r="I42" s="292"/>
      <c r="J42" s="291"/>
      <c r="K42" s="291"/>
      <c r="L42" s="253"/>
      <c r="M42" s="253"/>
      <c r="N42" s="253"/>
    </row>
    <row r="43" spans="2:11" ht="13.5" customHeight="1">
      <c r="B43" s="296" t="s">
        <v>87</v>
      </c>
      <c r="C43" s="301">
        <v>95</v>
      </c>
      <c r="D43" s="301">
        <v>95</v>
      </c>
      <c r="E43" s="301">
        <v>95</v>
      </c>
      <c r="F43" s="301">
        <v>95</v>
      </c>
      <c r="G43" s="303"/>
      <c r="H43" s="297"/>
      <c r="I43" s="291"/>
      <c r="J43" s="291"/>
      <c r="K43" s="291"/>
    </row>
    <row r="44" spans="2:13" ht="13.5" customHeight="1">
      <c r="B44" s="296" t="s">
        <v>106</v>
      </c>
      <c r="C44" s="303">
        <f>TINV((1-C43/100),C38)</f>
        <v>2.093024049854864</v>
      </c>
      <c r="D44" s="303">
        <f>TINV((1-D43/100),D38)</f>
        <v>2.144786681282085</v>
      </c>
      <c r="E44" s="303">
        <f>TINV((1-E43/100),E38)</f>
        <v>2.119905285162578</v>
      </c>
      <c r="F44" s="303">
        <f>TINV((1-F43/100),F38)</f>
        <v>2.0738730583156064</v>
      </c>
      <c r="G44" s="303"/>
      <c r="H44" s="297"/>
      <c r="I44" s="291"/>
      <c r="J44" s="291"/>
      <c r="K44" s="291"/>
      <c r="L44" s="253"/>
      <c r="M44" s="253"/>
    </row>
    <row r="45" spans="2:13" ht="13.5" customHeight="1">
      <c r="B45" s="296" t="s">
        <v>107</v>
      </c>
      <c r="C45" s="303">
        <f>TINV((1-C43/100),$G$38)</f>
        <v>1.993943341088395</v>
      </c>
      <c r="D45" s="303">
        <f>TINV((1-D43/100),$G$38)</f>
        <v>1.993943341088395</v>
      </c>
      <c r="E45" s="303">
        <f>TINV((1-E43/100),$G$38)</f>
        <v>1.993943341088395</v>
      </c>
      <c r="F45" s="303">
        <f>TINV((1-F43/100),$G$38)</f>
        <v>1.993943341088395</v>
      </c>
      <c r="G45" s="303"/>
      <c r="H45" s="297"/>
      <c r="I45" s="291"/>
      <c r="J45" s="291"/>
      <c r="K45" s="291"/>
      <c r="L45" s="253"/>
      <c r="M45" s="253"/>
    </row>
    <row r="46" spans="2:13" ht="13.5" customHeight="1">
      <c r="B46" s="296" t="s">
        <v>108</v>
      </c>
      <c r="C46" s="302">
        <f aca="true" t="shared" si="2" ref="C46:F47">C41*C44</f>
        <v>3.7545693916934195</v>
      </c>
      <c r="D46" s="302">
        <f t="shared" si="2"/>
        <v>5.988112527864703</v>
      </c>
      <c r="E46" s="302">
        <f t="shared" si="2"/>
        <v>4.100678287774661</v>
      </c>
      <c r="F46" s="302">
        <f t="shared" si="2"/>
        <v>4.092041451575476</v>
      </c>
      <c r="G46" s="303"/>
      <c r="H46" s="297"/>
      <c r="I46" s="291"/>
      <c r="J46" s="291"/>
      <c r="K46" s="291"/>
      <c r="L46" s="253"/>
      <c r="M46" s="253"/>
    </row>
    <row r="47" spans="2:13" ht="13.5" customHeight="1">
      <c r="B47" s="296" t="s">
        <v>109</v>
      </c>
      <c r="C47" s="302">
        <f t="shared" si="2"/>
        <v>4.046259049242513</v>
      </c>
      <c r="D47" s="302">
        <f t="shared" si="2"/>
        <v>4.672217502582249</v>
      </c>
      <c r="E47" s="302">
        <f t="shared" si="2"/>
        <v>4.388784140025295</v>
      </c>
      <c r="F47" s="302">
        <f t="shared" si="2"/>
        <v>3.773156018804525</v>
      </c>
      <c r="G47" s="303"/>
      <c r="H47" s="297"/>
      <c r="I47" s="291"/>
      <c r="J47" s="291"/>
      <c r="K47" s="291"/>
      <c r="L47" s="253"/>
      <c r="M47" s="253"/>
    </row>
    <row r="48" spans="2:13" ht="13.5" customHeight="1"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53"/>
      <c r="M48" s="253"/>
    </row>
    <row r="49" spans="1:13" ht="13.5" customHeight="1" thickBot="1">
      <c r="A49" s="296" t="s">
        <v>318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53"/>
      <c r="M49" s="253"/>
    </row>
    <row r="50" spans="2:13" ht="13.5" customHeight="1">
      <c r="B50" s="308"/>
      <c r="C50" s="309"/>
      <c r="D50" s="338" t="s">
        <v>88</v>
      </c>
      <c r="E50" s="309"/>
      <c r="F50" s="309"/>
      <c r="G50" s="310"/>
      <c r="H50" s="291"/>
      <c r="I50" s="291"/>
      <c r="J50" s="291"/>
      <c r="K50" s="291"/>
      <c r="L50" s="253"/>
      <c r="M50" s="253"/>
    </row>
    <row r="51" spans="2:13" ht="13.5" customHeight="1">
      <c r="B51" s="335" t="s">
        <v>166</v>
      </c>
      <c r="C51" s="336" t="s">
        <v>252</v>
      </c>
      <c r="D51" s="336" t="s">
        <v>304</v>
      </c>
      <c r="E51" s="336" t="s">
        <v>167</v>
      </c>
      <c r="F51" s="336" t="s">
        <v>89</v>
      </c>
      <c r="G51" s="337" t="s">
        <v>169</v>
      </c>
      <c r="H51" s="291"/>
      <c r="I51" s="291"/>
      <c r="J51" s="291"/>
      <c r="K51" s="291"/>
      <c r="L51" s="253"/>
      <c r="M51" s="253"/>
    </row>
    <row r="52" spans="2:11" ht="13.5" customHeight="1">
      <c r="B52" s="311" t="s">
        <v>274</v>
      </c>
      <c r="C52" s="312">
        <v>3</v>
      </c>
      <c r="D52" s="324">
        <f>SUM(C34:F34)-G33^2/G32</f>
        <v>1247.6219607843086</v>
      </c>
      <c r="E52" s="324">
        <f>D52/C52</f>
        <v>415.87398692810285</v>
      </c>
      <c r="F52" s="325">
        <f>E52/E53</f>
        <v>5.049519106098872</v>
      </c>
      <c r="G52" s="314">
        <f>FINV(0.05,C52,C53)</f>
        <v>2.7336471861236786</v>
      </c>
      <c r="H52" s="291"/>
      <c r="I52" s="291"/>
      <c r="J52" s="292"/>
      <c r="K52" s="291"/>
    </row>
    <row r="53" spans="2:11" ht="13.5" customHeight="1" thickBot="1">
      <c r="B53" s="315" t="s">
        <v>174</v>
      </c>
      <c r="C53" s="316">
        <f>G38</f>
        <v>71</v>
      </c>
      <c r="D53" s="326">
        <f>G37</f>
        <v>5847.498039215687</v>
      </c>
      <c r="E53" s="326">
        <f>D53/C53</f>
        <v>82.359127312897</v>
      </c>
      <c r="F53" s="317"/>
      <c r="G53" s="318"/>
      <c r="H53" s="291"/>
      <c r="I53" s="291"/>
      <c r="J53" s="291"/>
      <c r="K53" s="291"/>
    </row>
    <row r="54" spans="2:11" ht="13.5" customHeight="1" thickBot="1">
      <c r="B54" s="290"/>
      <c r="C54" s="290"/>
      <c r="D54" s="290"/>
      <c r="E54" s="290"/>
      <c r="F54" s="290"/>
      <c r="G54" s="290"/>
      <c r="H54" s="290"/>
      <c r="I54" s="290"/>
      <c r="J54" s="290"/>
      <c r="K54" s="290"/>
    </row>
    <row r="55" spans="1:11" ht="13.5" customHeight="1">
      <c r="A55" s="296" t="s">
        <v>319</v>
      </c>
      <c r="B55" s="356" t="s">
        <v>90</v>
      </c>
      <c r="C55" s="356" t="s">
        <v>256</v>
      </c>
      <c r="D55" s="356" t="s">
        <v>91</v>
      </c>
      <c r="E55" s="356" t="s">
        <v>21</v>
      </c>
      <c r="F55" s="357" t="s">
        <v>22</v>
      </c>
      <c r="G55" s="290"/>
      <c r="H55" s="290"/>
      <c r="J55" s="290"/>
      <c r="K55" s="290"/>
    </row>
    <row r="56" spans="1:11" ht="13.5" customHeight="1" thickBot="1">
      <c r="A56" s="296"/>
      <c r="B56" s="304">
        <f>E53</f>
        <v>82.359127312897</v>
      </c>
      <c r="C56" s="327">
        <f>F32</f>
        <v>23</v>
      </c>
      <c r="D56" s="304">
        <f>SQRT(B56/C56)</f>
        <v>1.8923085431028075</v>
      </c>
      <c r="E56" s="304">
        <f>TINV(0.05,G38)</f>
        <v>1.993943341088395</v>
      </c>
      <c r="F56" s="342">
        <f>D56*E56</f>
        <v>3.7731560188045252</v>
      </c>
      <c r="G56" s="290"/>
      <c r="H56" s="290"/>
      <c r="J56" s="290"/>
      <c r="K56" s="290"/>
    </row>
    <row r="57" spans="1:11" ht="13.5" customHeight="1" thickBot="1">
      <c r="A57" s="296"/>
      <c r="B57" s="291"/>
      <c r="C57" s="291"/>
      <c r="D57" s="291"/>
      <c r="E57" s="291"/>
      <c r="F57" s="291"/>
      <c r="G57" s="290"/>
      <c r="H57" s="290"/>
      <c r="J57" s="290"/>
      <c r="K57" s="290"/>
    </row>
    <row r="58" spans="1:11" ht="13.5" customHeight="1">
      <c r="A58" s="319" t="s">
        <v>321</v>
      </c>
      <c r="B58" s="333" t="s">
        <v>90</v>
      </c>
      <c r="C58" s="333" t="s">
        <v>256</v>
      </c>
      <c r="D58" s="333" t="s">
        <v>91</v>
      </c>
      <c r="E58" s="333" t="s">
        <v>21</v>
      </c>
      <c r="F58" s="334" t="s">
        <v>22</v>
      </c>
      <c r="G58" s="300"/>
      <c r="H58" s="300"/>
      <c r="J58" s="300"/>
      <c r="K58" s="300"/>
    </row>
    <row r="59" spans="1:11" ht="13.5" customHeight="1" thickBot="1">
      <c r="A59" s="319"/>
      <c r="B59" s="298">
        <f>F39</f>
        <v>89.54545454545455</v>
      </c>
      <c r="C59" s="299">
        <f>C56</f>
        <v>23</v>
      </c>
      <c r="D59" s="298">
        <f>SQRT(B59/C59)</f>
        <v>1.9731397903876622</v>
      </c>
      <c r="E59" s="298">
        <f>TINV(0.05,F38)</f>
        <v>2.0738730583156064</v>
      </c>
      <c r="F59" s="321">
        <f>D59*E59</f>
        <v>4.092041451575476</v>
      </c>
      <c r="G59" s="300"/>
      <c r="H59" s="300"/>
      <c r="J59" s="300"/>
      <c r="K59" s="300"/>
    </row>
    <row r="60" spans="1:11" ht="13.5" customHeight="1" thickBot="1">
      <c r="A60" s="296"/>
      <c r="B60" s="290"/>
      <c r="C60" s="290"/>
      <c r="D60" s="290"/>
      <c r="E60" s="290"/>
      <c r="F60" s="290"/>
      <c r="G60" s="290"/>
      <c r="H60" s="290"/>
      <c r="J60" s="290"/>
      <c r="K60" s="290"/>
    </row>
    <row r="61" spans="1:11" ht="13.5" customHeight="1">
      <c r="A61" s="319" t="s">
        <v>61</v>
      </c>
      <c r="B61" s="330" t="s">
        <v>202</v>
      </c>
      <c r="C61" s="330" t="s">
        <v>304</v>
      </c>
      <c r="D61" s="330" t="s">
        <v>252</v>
      </c>
      <c r="E61" s="330" t="s">
        <v>90</v>
      </c>
      <c r="F61" s="330" t="s">
        <v>281</v>
      </c>
      <c r="G61" s="331" t="s">
        <v>92</v>
      </c>
      <c r="H61" s="332" t="s">
        <v>36</v>
      </c>
      <c r="J61" s="290"/>
      <c r="K61" s="290"/>
    </row>
    <row r="62" spans="1:11" ht="13.5" customHeight="1" thickBot="1">
      <c r="A62" s="296"/>
      <c r="B62" s="304">
        <f>F35-C35</f>
        <v>10.599999999999994</v>
      </c>
      <c r="C62" s="304">
        <f>C37+F37</f>
        <v>3192.800000000003</v>
      </c>
      <c r="D62" s="327">
        <f>C38+F38</f>
        <v>41</v>
      </c>
      <c r="E62" s="304">
        <f>C62/D62</f>
        <v>77.87317073170739</v>
      </c>
      <c r="F62" s="304">
        <f>SQRT(E62/C32+E62/F32)</f>
        <v>2.6980453236368613</v>
      </c>
      <c r="G62" s="328">
        <f>B62/F62</f>
        <v>3.9287701756290745</v>
      </c>
      <c r="H62" s="329">
        <f>TINV(0.05,D62)</f>
        <v>2.019540948264188</v>
      </c>
      <c r="J62" s="290"/>
      <c r="K62" s="290"/>
    </row>
    <row r="63" spans="1:11" ht="13.5" customHeight="1" thickBot="1">
      <c r="A63" s="296"/>
      <c r="B63" s="290"/>
      <c r="C63" s="290"/>
      <c r="D63" s="290"/>
      <c r="E63" s="290"/>
      <c r="F63" s="290"/>
      <c r="G63" s="290"/>
      <c r="H63" s="290"/>
      <c r="J63" s="290"/>
      <c r="K63" s="290"/>
    </row>
    <row r="64" spans="1:11" ht="13.5" customHeight="1">
      <c r="A64" s="319" t="s">
        <v>287</v>
      </c>
      <c r="B64" s="386" t="s">
        <v>202</v>
      </c>
      <c r="C64" s="330" t="s">
        <v>281</v>
      </c>
      <c r="D64" s="333" t="s">
        <v>36</v>
      </c>
      <c r="E64" s="334" t="s">
        <v>22</v>
      </c>
      <c r="F64" s="297"/>
      <c r="G64" s="290"/>
      <c r="H64" s="290"/>
      <c r="J64" s="290"/>
      <c r="K64" s="290"/>
    </row>
    <row r="65" spans="1:11" ht="13.5" customHeight="1" thickBot="1">
      <c r="A65" s="296"/>
      <c r="B65" s="321">
        <f>B62</f>
        <v>10.599999999999994</v>
      </c>
      <c r="C65" s="298">
        <f>F62</f>
        <v>2.6980453236368613</v>
      </c>
      <c r="D65" s="298">
        <f>H62</f>
        <v>2.019540948264188</v>
      </c>
      <c r="E65" s="321">
        <f>C65*D65</f>
        <v>5.448813011357346</v>
      </c>
      <c r="F65" s="297"/>
      <c r="G65" s="290"/>
      <c r="H65" s="290"/>
      <c r="J65" s="290"/>
      <c r="K65" s="290"/>
    </row>
    <row r="66" spans="1:11" ht="13.5" customHeight="1" thickBot="1">
      <c r="A66" s="296"/>
      <c r="C66" s="290"/>
      <c r="D66" s="290"/>
      <c r="E66" s="290"/>
      <c r="F66" s="290"/>
      <c r="G66" s="290"/>
      <c r="H66" s="290"/>
      <c r="I66" s="290"/>
      <c r="J66" s="290"/>
      <c r="K66" s="290"/>
    </row>
    <row r="67" spans="1:11" ht="13.5" customHeight="1">
      <c r="A67" s="319" t="s">
        <v>93</v>
      </c>
      <c r="B67" s="298" t="s">
        <v>56</v>
      </c>
      <c r="C67" s="298" t="s">
        <v>256</v>
      </c>
      <c r="D67" s="298" t="s">
        <v>57</v>
      </c>
      <c r="E67" s="298" t="s">
        <v>58</v>
      </c>
      <c r="F67" s="322" t="s">
        <v>22</v>
      </c>
      <c r="H67" s="290"/>
      <c r="I67" s="290"/>
      <c r="J67" s="290"/>
      <c r="K67" s="290"/>
    </row>
    <row r="68" spans="1:11" ht="13.5" customHeight="1" thickBot="1">
      <c r="A68" s="290"/>
      <c r="B68" s="298">
        <v>100</v>
      </c>
      <c r="C68" s="299">
        <f>D32</f>
        <v>15</v>
      </c>
      <c r="D68" s="298">
        <f>SQRT(B68/C68)</f>
        <v>2.581988897471611</v>
      </c>
      <c r="E68" s="298">
        <f>NORMSINV(0.975)</f>
        <v>1.959963984540054</v>
      </c>
      <c r="F68" s="321">
        <f>D68*E68</f>
        <v>5.06060524752664</v>
      </c>
      <c r="H68" s="290"/>
      <c r="I68" s="290"/>
      <c r="J68" s="290"/>
      <c r="K68" s="290"/>
    </row>
    <row r="69" spans="1:11" ht="13.5" customHeight="1">
      <c r="A69" s="290"/>
      <c r="C69" s="300"/>
      <c r="D69" s="300"/>
      <c r="E69" s="300"/>
      <c r="F69" s="300"/>
      <c r="G69" s="300"/>
      <c r="H69" s="290"/>
      <c r="I69" s="290"/>
      <c r="J69" s="290"/>
      <c r="K69" s="290"/>
    </row>
    <row r="70" spans="1:14" ht="13.5" customHeight="1">
      <c r="A70" s="177" t="s">
        <v>59</v>
      </c>
      <c r="B70" s="291"/>
      <c r="C70" s="330" t="s">
        <v>102</v>
      </c>
      <c r="D70" s="333" t="s">
        <v>103</v>
      </c>
      <c r="E70" s="290"/>
      <c r="F70" s="290"/>
      <c r="G70" s="290"/>
      <c r="H70" s="290"/>
      <c r="I70" s="290"/>
      <c r="J70" s="290"/>
      <c r="K70" s="290"/>
      <c r="M70" s="181"/>
      <c r="N70" s="246"/>
    </row>
    <row r="71" spans="2:14" ht="13.5" customHeight="1">
      <c r="B71" s="296" t="s">
        <v>298</v>
      </c>
      <c r="C71" s="304">
        <f>D39</f>
        <v>116.9238095238096</v>
      </c>
      <c r="D71" s="304">
        <f>E39</f>
        <v>63.610294117646845</v>
      </c>
      <c r="E71" s="290"/>
      <c r="F71" s="290"/>
      <c r="G71" s="290"/>
      <c r="H71" s="290"/>
      <c r="I71" s="290"/>
      <c r="J71" s="290"/>
      <c r="K71" s="290"/>
      <c r="M71" s="254"/>
      <c r="N71" s="246"/>
    </row>
    <row r="72" spans="2:14" ht="13.5" customHeight="1" thickBot="1">
      <c r="B72" s="296" t="s">
        <v>252</v>
      </c>
      <c r="C72" s="327">
        <f>D38</f>
        <v>14</v>
      </c>
      <c r="D72" s="327">
        <f>E38</f>
        <v>16</v>
      </c>
      <c r="E72" s="290"/>
      <c r="F72" s="290"/>
      <c r="G72" s="290"/>
      <c r="H72" s="290"/>
      <c r="I72" s="290"/>
      <c r="J72" s="290"/>
      <c r="K72" s="290"/>
      <c r="M72" s="254"/>
      <c r="N72" s="246"/>
    </row>
    <row r="73" spans="2:14" ht="13.5" customHeight="1">
      <c r="B73" s="308" t="s">
        <v>1</v>
      </c>
      <c r="C73" s="341">
        <f>C71/D71</f>
        <v>1.838127163939216</v>
      </c>
      <c r="D73" s="327"/>
      <c r="E73" s="290"/>
      <c r="F73" s="290"/>
      <c r="G73" s="290"/>
      <c r="H73" s="290"/>
      <c r="I73" s="290"/>
      <c r="J73" s="290"/>
      <c r="K73" s="290"/>
      <c r="M73" s="254"/>
      <c r="N73" s="246"/>
    </row>
    <row r="74" spans="2:14" ht="13.5" customHeight="1" thickBot="1">
      <c r="B74" s="315" t="s">
        <v>2</v>
      </c>
      <c r="C74" s="329">
        <f>FINV(0.025,C72,D72)</f>
        <v>2.817017839604479</v>
      </c>
      <c r="D74" s="327"/>
      <c r="E74" s="290"/>
      <c r="F74" s="290"/>
      <c r="G74" s="290"/>
      <c r="H74" s="290"/>
      <c r="I74" s="290"/>
      <c r="J74" s="290"/>
      <c r="K74" s="290"/>
      <c r="M74" s="254"/>
      <c r="N74" s="246"/>
    </row>
    <row r="75" spans="2:14" ht="13.5" customHeight="1" thickBot="1">
      <c r="B75" s="312"/>
      <c r="C75" s="324"/>
      <c r="D75" s="327"/>
      <c r="E75" s="290"/>
      <c r="F75" s="290"/>
      <c r="G75" s="290"/>
      <c r="H75" s="290"/>
      <c r="I75" s="290"/>
      <c r="J75" s="290"/>
      <c r="K75" s="290"/>
      <c r="M75" s="254"/>
      <c r="N75" s="246"/>
    </row>
    <row r="76" spans="1:14" ht="13.5" customHeight="1">
      <c r="A76" s="177" t="s">
        <v>0</v>
      </c>
      <c r="B76" s="320" t="s">
        <v>3</v>
      </c>
      <c r="C76" s="324"/>
      <c r="D76" s="327"/>
      <c r="E76" s="290"/>
      <c r="F76" s="290"/>
      <c r="G76" s="290"/>
      <c r="H76" s="290"/>
      <c r="I76" s="290"/>
      <c r="J76" s="290"/>
      <c r="K76" s="290"/>
      <c r="M76" s="254"/>
      <c r="N76" s="246"/>
    </row>
    <row r="77" spans="2:14" ht="13.5" customHeight="1" thickBot="1">
      <c r="B77" s="342">
        <f>(D52-(C52*E53))/(D52+D53+E53)</f>
        <v>0.13940055569624513</v>
      </c>
      <c r="C77" s="324"/>
      <c r="D77" s="327"/>
      <c r="E77" s="290"/>
      <c r="F77" s="290"/>
      <c r="G77" s="290"/>
      <c r="H77" s="290"/>
      <c r="I77" s="290"/>
      <c r="J77" s="290"/>
      <c r="K77" s="290"/>
      <c r="M77" s="254"/>
      <c r="N77" s="246"/>
    </row>
    <row r="78" spans="2:14" ht="13.5" customHeight="1">
      <c r="B78" s="312"/>
      <c r="C78" s="324"/>
      <c r="D78" s="327"/>
      <c r="E78" s="290"/>
      <c r="F78" s="290"/>
      <c r="G78" s="290"/>
      <c r="H78" s="290"/>
      <c r="I78" s="290"/>
      <c r="J78" s="290"/>
      <c r="K78" s="290"/>
      <c r="M78" s="254"/>
      <c r="N78" s="246"/>
    </row>
    <row r="79" spans="2:14" ht="13.5" customHeight="1">
      <c r="B79" s="312"/>
      <c r="C79" s="324"/>
      <c r="D79" s="327"/>
      <c r="E79" s="290"/>
      <c r="F79" s="290"/>
      <c r="G79" s="290"/>
      <c r="H79" s="290"/>
      <c r="I79" s="290"/>
      <c r="J79" s="290"/>
      <c r="K79" s="290"/>
      <c r="M79" s="254"/>
      <c r="N79" s="246"/>
    </row>
    <row r="80" spans="1:14" ht="13.5" customHeight="1">
      <c r="A80" s="255" t="s">
        <v>303</v>
      </c>
      <c r="B80" s="351" t="s">
        <v>16</v>
      </c>
      <c r="C80" s="324"/>
      <c r="D80" s="327"/>
      <c r="E80" s="290"/>
      <c r="F80" s="290"/>
      <c r="G80" s="290"/>
      <c r="H80" s="290"/>
      <c r="I80" s="290"/>
      <c r="J80" s="290"/>
      <c r="K80" s="290"/>
      <c r="M80" s="254"/>
      <c r="N80" s="246"/>
    </row>
    <row r="81" spans="2:14" ht="13.5" customHeight="1" thickBot="1">
      <c r="B81" s="370"/>
      <c r="C81" s="375" t="s">
        <v>13</v>
      </c>
      <c r="D81" s="376" t="s">
        <v>14</v>
      </c>
      <c r="E81" s="370" t="s">
        <v>15</v>
      </c>
      <c r="F81" s="369"/>
      <c r="G81" s="290"/>
      <c r="H81" s="290"/>
      <c r="I81" s="290"/>
      <c r="J81" s="290"/>
      <c r="K81" s="290"/>
      <c r="M81" s="254"/>
      <c r="N81" s="246"/>
    </row>
    <row r="82" spans="2:14" ht="13.5" customHeight="1" thickTop="1">
      <c r="B82" s="389" t="s">
        <v>13</v>
      </c>
      <c r="C82" s="379">
        <v>2</v>
      </c>
      <c r="D82" s="377">
        <v>7</v>
      </c>
      <c r="E82" s="373">
        <v>4</v>
      </c>
      <c r="F82" s="391">
        <v>24</v>
      </c>
      <c r="G82" s="290"/>
      <c r="H82" s="290"/>
      <c r="I82" s="290"/>
      <c r="J82" s="290"/>
      <c r="K82" s="290"/>
      <c r="M82" s="254"/>
      <c r="N82" s="246"/>
    </row>
    <row r="83" spans="2:14" ht="13.5" customHeight="1">
      <c r="B83" s="390"/>
      <c r="C83" s="380">
        <v>0</v>
      </c>
      <c r="D83" s="378">
        <v>7</v>
      </c>
      <c r="E83" s="374">
        <v>4</v>
      </c>
      <c r="F83" s="392"/>
      <c r="G83" s="290"/>
      <c r="H83" s="290"/>
      <c r="I83" s="290"/>
      <c r="J83" s="290"/>
      <c r="K83" s="290"/>
      <c r="M83" s="254"/>
      <c r="N83" s="246"/>
    </row>
    <row r="84" spans="2:14" ht="13.5" customHeight="1">
      <c r="B84" s="393" t="s">
        <v>14</v>
      </c>
      <c r="C84" s="381">
        <v>7</v>
      </c>
      <c r="D84" s="377">
        <v>1</v>
      </c>
      <c r="E84" s="373">
        <v>4</v>
      </c>
      <c r="F84" s="395">
        <v>24</v>
      </c>
      <c r="G84" s="290"/>
      <c r="H84" s="290"/>
      <c r="I84" s="290"/>
      <c r="J84" s="290"/>
      <c r="K84" s="290"/>
      <c r="M84" s="254"/>
      <c r="N84" s="246"/>
    </row>
    <row r="85" spans="2:14" ht="13.5" customHeight="1" thickBot="1">
      <c r="B85" s="394"/>
      <c r="C85" s="382">
        <v>7</v>
      </c>
      <c r="D85" s="376">
        <v>1</v>
      </c>
      <c r="E85" s="372">
        <v>4</v>
      </c>
      <c r="F85" s="396"/>
      <c r="G85" s="290"/>
      <c r="H85" s="290"/>
      <c r="I85" s="290"/>
      <c r="J85" s="290"/>
      <c r="K85" s="290"/>
      <c r="M85" s="254"/>
      <c r="N85" s="246"/>
    </row>
    <row r="86" spans="2:14" ht="13.5" customHeight="1" thickTop="1">
      <c r="B86" s="371"/>
      <c r="C86" s="381">
        <v>16</v>
      </c>
      <c r="D86" s="381">
        <v>16</v>
      </c>
      <c r="E86" s="373">
        <v>16</v>
      </c>
      <c r="F86" s="327">
        <v>48</v>
      </c>
      <c r="G86" s="290"/>
      <c r="H86" s="290"/>
      <c r="I86" s="290"/>
      <c r="J86" s="290"/>
      <c r="K86" s="290"/>
      <c r="M86" s="254"/>
      <c r="N86" s="246"/>
    </row>
    <row r="87" spans="2:14" ht="13.5" customHeight="1">
      <c r="B87" s="312"/>
      <c r="C87" s="324"/>
      <c r="D87" s="327"/>
      <c r="E87" s="290"/>
      <c r="F87" s="290"/>
      <c r="G87" s="290"/>
      <c r="H87" s="290"/>
      <c r="I87" s="290"/>
      <c r="J87" s="290"/>
      <c r="K87" s="290"/>
      <c r="M87" s="254"/>
      <c r="N87" s="246"/>
    </row>
    <row r="88" spans="2:14" ht="13.5" customHeight="1"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M88" s="181"/>
      <c r="N88" s="246"/>
    </row>
    <row r="89" spans="1:14" ht="13.5" customHeight="1">
      <c r="A89" s="297">
        <v>3</v>
      </c>
      <c r="B89" s="296" t="s">
        <v>39</v>
      </c>
      <c r="C89" s="297">
        <v>25</v>
      </c>
      <c r="D89" s="177" t="s">
        <v>275</v>
      </c>
      <c r="E89" s="384">
        <v>784375</v>
      </c>
      <c r="K89" s="290"/>
      <c r="M89" s="181"/>
      <c r="N89" s="246"/>
    </row>
    <row r="90" spans="2:11" ht="13.5" customHeight="1">
      <c r="B90" s="296" t="s">
        <v>8</v>
      </c>
      <c r="C90" s="297">
        <f>C94*C89</f>
        <v>125</v>
      </c>
      <c r="D90" s="177" t="s">
        <v>276</v>
      </c>
      <c r="E90" s="384">
        <v>3808125</v>
      </c>
      <c r="K90" s="290"/>
    </row>
    <row r="91" spans="2:11" ht="13.5" customHeight="1">
      <c r="B91" s="296" t="s">
        <v>9</v>
      </c>
      <c r="C91" s="297">
        <f>C89*3</f>
        <v>75</v>
      </c>
      <c r="D91" s="177" t="s">
        <v>277</v>
      </c>
      <c r="E91" s="384">
        <v>2340375</v>
      </c>
      <c r="K91" s="290"/>
    </row>
    <row r="92" spans="4:11" ht="13.5" customHeight="1">
      <c r="D92" s="177" t="s">
        <v>278</v>
      </c>
      <c r="E92" s="384">
        <v>33175</v>
      </c>
      <c r="J92" s="290"/>
      <c r="K92" s="290"/>
    </row>
    <row r="93" spans="2:11" ht="13.5" customHeight="1">
      <c r="B93" s="296" t="s">
        <v>212</v>
      </c>
      <c r="C93" s="297">
        <f>C89*C94*3</f>
        <v>375</v>
      </c>
      <c r="E93" s="290"/>
      <c r="J93" s="290"/>
      <c r="K93" s="290"/>
    </row>
    <row r="94" spans="2:11" ht="13.5" customHeight="1">
      <c r="B94" s="177" t="s">
        <v>4</v>
      </c>
      <c r="C94" s="297">
        <v>5</v>
      </c>
      <c r="H94" s="290"/>
      <c r="I94" s="290"/>
      <c r="J94" s="290"/>
      <c r="K94" s="290"/>
    </row>
    <row r="95" spans="1:11" ht="13.5" customHeight="1">
      <c r="A95" s="296" t="s">
        <v>282</v>
      </c>
      <c r="B95" s="290"/>
      <c r="C95" s="330" t="s">
        <v>5</v>
      </c>
      <c r="D95" s="330" t="s">
        <v>6</v>
      </c>
      <c r="E95" s="330" t="s">
        <v>7</v>
      </c>
      <c r="F95" s="344" t="s">
        <v>243</v>
      </c>
      <c r="H95" s="290"/>
      <c r="I95" s="290"/>
      <c r="J95" s="290"/>
      <c r="K95" s="290"/>
    </row>
    <row r="96" spans="2:11" ht="13.5" customHeight="1">
      <c r="B96" s="296" t="s">
        <v>196</v>
      </c>
      <c r="C96" s="327">
        <f>C97*$C$90</f>
        <v>1050</v>
      </c>
      <c r="D96" s="327">
        <f>D97*$C$90</f>
        <v>1125</v>
      </c>
      <c r="E96" s="327">
        <f>E97*$C$90</f>
        <v>1200</v>
      </c>
      <c r="F96" s="301">
        <f>SUM(C96:E96)</f>
        <v>3375</v>
      </c>
      <c r="G96" s="255" t="s">
        <v>246</v>
      </c>
      <c r="I96" s="290"/>
      <c r="J96" s="290"/>
      <c r="K96" s="290"/>
    </row>
    <row r="97" spans="2:10" ht="13.5" customHeight="1">
      <c r="B97" s="296" t="s">
        <v>193</v>
      </c>
      <c r="C97" s="343">
        <v>8.4</v>
      </c>
      <c r="D97" s="343">
        <v>9</v>
      </c>
      <c r="E97" s="343">
        <v>9.6</v>
      </c>
      <c r="F97" s="301"/>
      <c r="G97" s="291"/>
      <c r="J97" s="340"/>
    </row>
    <row r="98" spans="2:10" ht="13.5" customHeight="1">
      <c r="B98" s="296" t="s">
        <v>94</v>
      </c>
      <c r="C98" s="327">
        <f>C96^2</f>
        <v>1102500</v>
      </c>
      <c r="D98" s="327">
        <f>D96^2</f>
        <v>1265625</v>
      </c>
      <c r="E98" s="327">
        <f>E96^2</f>
        <v>1440000</v>
      </c>
      <c r="F98" s="301">
        <f>SUM(C98:E98)</f>
        <v>3808125</v>
      </c>
      <c r="G98" s="291"/>
      <c r="J98" s="340"/>
    </row>
    <row r="99" spans="2:10" ht="13.5" customHeight="1">
      <c r="B99" s="290"/>
      <c r="C99" s="290"/>
      <c r="D99" s="290"/>
      <c r="E99" s="290"/>
      <c r="F99" s="290"/>
      <c r="G99" s="290"/>
      <c r="J99" s="340"/>
    </row>
    <row r="100" spans="3:10" ht="13.5" customHeight="1" thickBot="1">
      <c r="C100" s="290"/>
      <c r="D100" s="290"/>
      <c r="E100" s="290"/>
      <c r="F100" s="290"/>
      <c r="G100" s="290"/>
      <c r="J100" s="340"/>
    </row>
    <row r="101" spans="2:10" ht="13.5" customHeight="1">
      <c r="B101" s="348" t="s">
        <v>166</v>
      </c>
      <c r="C101" s="349" t="s">
        <v>252</v>
      </c>
      <c r="D101" s="349" t="s">
        <v>304</v>
      </c>
      <c r="E101" s="349" t="s">
        <v>167</v>
      </c>
      <c r="F101" s="338" t="s">
        <v>168</v>
      </c>
      <c r="G101" s="332" t="s">
        <v>169</v>
      </c>
      <c r="J101" s="340"/>
    </row>
    <row r="102" spans="2:7" ht="13.5" customHeight="1">
      <c r="B102" s="350" t="s">
        <v>95</v>
      </c>
      <c r="C102" s="312">
        <f>3*C94-1</f>
        <v>14</v>
      </c>
      <c r="D102" s="246">
        <f>E89/C89-F96^2/C93</f>
        <v>1000</v>
      </c>
      <c r="E102" s="351"/>
      <c r="F102" s="312"/>
      <c r="G102" s="313"/>
    </row>
    <row r="103" spans="2:11" ht="13.5" customHeight="1">
      <c r="B103" s="350" t="s">
        <v>96</v>
      </c>
      <c r="C103" s="323">
        <v>2</v>
      </c>
      <c r="D103" s="383">
        <f>E90/C90-F96^2/C93</f>
        <v>90</v>
      </c>
      <c r="E103" s="352">
        <f>D103/C103</f>
        <v>45</v>
      </c>
      <c r="F103" s="325">
        <f>E103/E105</f>
        <v>4.5</v>
      </c>
      <c r="G103" s="314">
        <f>FINV(0.05,C103,C105)</f>
        <v>4.458970107572002</v>
      </c>
      <c r="H103" s="297"/>
      <c r="J103" s="290"/>
      <c r="K103" s="290"/>
    </row>
    <row r="104" spans="2:11" ht="13.5" customHeight="1">
      <c r="B104" s="350" t="s">
        <v>97</v>
      </c>
      <c r="C104" s="323">
        <f>C94-1</f>
        <v>4</v>
      </c>
      <c r="D104" s="383">
        <f>E91/C91-F96^2/C93</f>
        <v>830</v>
      </c>
      <c r="E104" s="352">
        <f>D104/C104</f>
        <v>207.5</v>
      </c>
      <c r="F104" s="351"/>
      <c r="G104" s="353"/>
      <c r="H104" s="297"/>
      <c r="J104" s="290"/>
      <c r="K104" s="290"/>
    </row>
    <row r="105" spans="2:11" ht="13.5" customHeight="1">
      <c r="B105" s="350" t="s">
        <v>173</v>
      </c>
      <c r="C105" s="323">
        <f>C103*C104</f>
        <v>8</v>
      </c>
      <c r="D105" s="306">
        <f>D102-(D103+D104)</f>
        <v>80</v>
      </c>
      <c r="E105" s="352">
        <f>D105/C105</f>
        <v>10</v>
      </c>
      <c r="F105" s="351"/>
      <c r="G105" s="353"/>
      <c r="H105" s="297"/>
      <c r="I105" s="290"/>
      <c r="J105" s="290"/>
      <c r="K105" s="290"/>
    </row>
    <row r="106" spans="2:11" ht="13.5" customHeight="1" thickBot="1">
      <c r="B106" s="345" t="s">
        <v>98</v>
      </c>
      <c r="C106" s="317">
        <f>C94*3*(C89-1)</f>
        <v>360</v>
      </c>
      <c r="D106" s="354">
        <f>E92-E89/C89</f>
        <v>1800</v>
      </c>
      <c r="E106" s="354">
        <f>D106/C106</f>
        <v>5</v>
      </c>
      <c r="F106" s="346"/>
      <c r="G106" s="355"/>
      <c r="H106" s="297"/>
      <c r="I106" s="290"/>
      <c r="J106" s="290"/>
      <c r="K106" s="290"/>
    </row>
    <row r="107" spans="2:11" ht="13.5" customHeight="1" thickBot="1">
      <c r="B107" s="345" t="s">
        <v>175</v>
      </c>
      <c r="C107" s="346">
        <f>C102+C106</f>
        <v>374</v>
      </c>
      <c r="D107" s="347">
        <f>E92-F96^2/C93</f>
        <v>2800</v>
      </c>
      <c r="E107" s="297"/>
      <c r="F107" s="297"/>
      <c r="G107" s="297"/>
      <c r="H107" s="297"/>
      <c r="I107" s="290"/>
      <c r="J107" s="290"/>
      <c r="K107" s="290"/>
    </row>
    <row r="108" spans="2:11" ht="13.5" customHeight="1" thickBot="1">
      <c r="B108" s="290"/>
      <c r="C108" s="297"/>
      <c r="D108" s="297" t="s">
        <v>17</v>
      </c>
      <c r="E108" s="297"/>
      <c r="F108" s="297"/>
      <c r="G108" s="297"/>
      <c r="H108" s="297"/>
      <c r="I108" s="290"/>
      <c r="J108" s="290"/>
      <c r="K108" s="290"/>
    </row>
    <row r="109" spans="2:11" ht="13.5" customHeight="1">
      <c r="B109" s="296" t="s">
        <v>10</v>
      </c>
      <c r="C109" s="356" t="s">
        <v>99</v>
      </c>
      <c r="D109" s="356" t="s">
        <v>256</v>
      </c>
      <c r="E109" s="356" t="s">
        <v>100</v>
      </c>
      <c r="F109" s="356" t="s">
        <v>21</v>
      </c>
      <c r="G109" s="357" t="s">
        <v>22</v>
      </c>
      <c r="H109" s="297"/>
      <c r="I109" s="290"/>
      <c r="J109" s="290"/>
      <c r="K109" s="290"/>
    </row>
    <row r="110" spans="2:11" ht="13.5" customHeight="1" thickBot="1">
      <c r="B110" s="296"/>
      <c r="C110" s="327">
        <f>E105</f>
        <v>10</v>
      </c>
      <c r="D110" s="327">
        <f>C90</f>
        <v>125</v>
      </c>
      <c r="E110" s="304">
        <f>SQRT(C110/D110)</f>
        <v>0.282842712474619</v>
      </c>
      <c r="F110" s="304">
        <f>TINV(0.05,C105)</f>
        <v>2.3060041332991172</v>
      </c>
      <c r="G110" s="342">
        <f>E110*F110</f>
        <v>0.6522364640400052</v>
      </c>
      <c r="H110" s="297"/>
      <c r="I110" s="290"/>
      <c r="J110" s="290"/>
      <c r="K110" s="290"/>
    </row>
    <row r="111" spans="2:11" ht="13.5" customHeight="1" thickBot="1">
      <c r="B111" s="296"/>
      <c r="C111" s="297"/>
      <c r="D111" s="297"/>
      <c r="E111" s="297"/>
      <c r="F111" s="297"/>
      <c r="G111" s="297"/>
      <c r="H111" s="290"/>
      <c r="I111" s="290"/>
      <c r="J111" s="290"/>
      <c r="K111" s="290"/>
    </row>
    <row r="112" spans="1:7" ht="13.5" customHeight="1">
      <c r="A112" s="177" t="s">
        <v>319</v>
      </c>
      <c r="B112" s="296" t="s">
        <v>11</v>
      </c>
      <c r="C112" s="356" t="s">
        <v>24</v>
      </c>
      <c r="D112" s="356" t="s">
        <v>256</v>
      </c>
      <c r="E112" s="356" t="s">
        <v>100</v>
      </c>
      <c r="F112" s="356" t="s">
        <v>21</v>
      </c>
      <c r="G112" s="357" t="s">
        <v>22</v>
      </c>
    </row>
    <row r="113" spans="2:7" ht="13.5" customHeight="1" thickBot="1">
      <c r="B113" s="290"/>
      <c r="C113" s="327">
        <f>E106</f>
        <v>5</v>
      </c>
      <c r="D113" s="327">
        <v>25</v>
      </c>
      <c r="E113" s="304">
        <f>SQRT(C113/D113)</f>
        <v>0.4472135954999579</v>
      </c>
      <c r="F113" s="304">
        <f>TINV(0.05,C106)</f>
        <v>1.9665753886438195</v>
      </c>
      <c r="G113" s="342">
        <f>E113*F113</f>
        <v>0.8794792503771297</v>
      </c>
    </row>
    <row r="116" spans="1:2" ht="13.5" customHeight="1">
      <c r="A116" s="255" t="s">
        <v>279</v>
      </c>
      <c r="B116" s="385" t="s">
        <v>280</v>
      </c>
    </row>
  </sheetData>
  <mergeCells count="4">
    <mergeCell ref="B82:B83"/>
    <mergeCell ref="F82:F83"/>
    <mergeCell ref="B84:B85"/>
    <mergeCell ref="F84:F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2008-01-21T22:35:17Z</cp:lastPrinted>
  <dcterms:created xsi:type="dcterms:W3CDTF">2005-01-11T19:08:43Z</dcterms:created>
  <cp:category/>
  <cp:version/>
  <cp:contentType/>
  <cp:contentStatus/>
</cp:coreProperties>
</file>