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Objects="placeholders" showInkAnnotation="0" autoCompressPictures="0"/>
  <bookViews>
    <workbookView xWindow="0" yWindow="0" windowWidth="25600" windowHeight="16060" tabRatio="779" activeTab="1"/>
  </bookViews>
  <sheets>
    <sheet name="Chapter 13" sheetId="12" r:id="rId1"/>
    <sheet name="Chapter 14" sheetId="1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13" l="1"/>
  <c r="D41" i="13"/>
  <c r="C38" i="13"/>
  <c r="E38" i="13"/>
  <c r="C40" i="13"/>
  <c r="C39" i="13"/>
  <c r="C51" i="13"/>
  <c r="C52" i="13"/>
  <c r="D158" i="13"/>
  <c r="D162" i="13"/>
  <c r="C159" i="13"/>
  <c r="E159" i="13"/>
  <c r="C161" i="13"/>
  <c r="C160" i="13"/>
  <c r="E161" i="13"/>
  <c r="E160" i="13"/>
  <c r="C174" i="13"/>
  <c r="C184" i="13"/>
  <c r="C178" i="13"/>
  <c r="C179" i="13"/>
  <c r="C180" i="13"/>
  <c r="C182" i="13"/>
  <c r="C185" i="13"/>
  <c r="D185" i="13"/>
  <c r="C181" i="13"/>
  <c r="C183" i="13"/>
  <c r="D183" i="13"/>
  <c r="D172" i="13"/>
  <c r="D173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67" i="13"/>
  <c r="E165" i="13"/>
  <c r="E166" i="13"/>
  <c r="E175" i="13"/>
  <c r="D174" i="13"/>
  <c r="D175" i="13"/>
  <c r="C175" i="13"/>
  <c r="C172" i="13"/>
  <c r="C173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E168" i="13"/>
  <c r="E169" i="13"/>
  <c r="C165" i="13"/>
  <c r="C166" i="13"/>
  <c r="E164" i="13"/>
  <c r="C164" i="13"/>
  <c r="F157" i="13"/>
  <c r="D126" i="13"/>
  <c r="C126" i="13"/>
  <c r="D125" i="13"/>
  <c r="C125" i="13"/>
  <c r="D124" i="13"/>
  <c r="C124" i="13"/>
  <c r="D93" i="13"/>
  <c r="D97" i="13"/>
  <c r="C94" i="13"/>
  <c r="E94" i="13"/>
  <c r="C96" i="13"/>
  <c r="C95" i="13"/>
  <c r="E96" i="13"/>
  <c r="E95" i="13"/>
  <c r="C109" i="13"/>
  <c r="C119" i="13"/>
  <c r="C113" i="13"/>
  <c r="C114" i="13"/>
  <c r="C115" i="13"/>
  <c r="C117" i="13"/>
  <c r="C120" i="13"/>
  <c r="D120" i="13"/>
  <c r="C116" i="13"/>
  <c r="C118" i="13"/>
  <c r="E119" i="13"/>
  <c r="D118" i="13"/>
  <c r="C107" i="13"/>
  <c r="C108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102" i="13"/>
  <c r="E100" i="13"/>
  <c r="E101" i="13"/>
  <c r="E110" i="13"/>
  <c r="D109" i="13"/>
  <c r="D110" i="13"/>
  <c r="C110" i="13"/>
  <c r="D108" i="13"/>
  <c r="D107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E103" i="13"/>
  <c r="E104" i="13"/>
  <c r="C100" i="13"/>
  <c r="C101" i="13"/>
  <c r="E99" i="13"/>
  <c r="C99" i="13"/>
  <c r="F92" i="13"/>
  <c r="G69" i="13"/>
  <c r="H69" i="13"/>
  <c r="G68" i="13"/>
  <c r="H68" i="13"/>
  <c r="E40" i="13"/>
  <c r="E39" i="13"/>
  <c r="C53" i="13"/>
  <c r="C63" i="13"/>
  <c r="C57" i="13"/>
  <c r="C58" i="13"/>
  <c r="C59" i="13"/>
  <c r="C61" i="13"/>
  <c r="C64" i="13"/>
  <c r="D64" i="13"/>
  <c r="C60" i="13"/>
  <c r="C62" i="13"/>
  <c r="E63" i="13"/>
  <c r="D62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46" i="13"/>
  <c r="E44" i="13"/>
  <c r="E45" i="13"/>
  <c r="E54" i="13"/>
  <c r="D53" i="13"/>
  <c r="D54" i="13"/>
  <c r="C54" i="13"/>
  <c r="D52" i="13"/>
  <c r="D51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E47" i="13"/>
  <c r="E48" i="13"/>
  <c r="C44" i="13"/>
  <c r="C45" i="13"/>
  <c r="E43" i="13"/>
  <c r="C43" i="13"/>
  <c r="F36" i="13"/>
  <c r="H229" i="12"/>
  <c r="G229" i="12"/>
  <c r="F229" i="12"/>
  <c r="E229" i="12"/>
  <c r="H225" i="12"/>
  <c r="G225" i="12"/>
  <c r="F225" i="12"/>
  <c r="E225" i="12"/>
  <c r="H221" i="12"/>
  <c r="G221" i="12"/>
  <c r="F221" i="12"/>
  <c r="E221" i="12"/>
  <c r="H217" i="12"/>
  <c r="G217" i="12"/>
  <c r="F217" i="12"/>
  <c r="E217" i="12"/>
  <c r="H169" i="12"/>
  <c r="G169" i="12"/>
  <c r="F169" i="12"/>
  <c r="E169" i="12"/>
  <c r="H165" i="12"/>
  <c r="G165" i="12"/>
  <c r="F165" i="12"/>
  <c r="E165" i="12"/>
  <c r="H161" i="12"/>
  <c r="G161" i="12"/>
  <c r="F161" i="12"/>
  <c r="E161" i="12"/>
  <c r="H157" i="12"/>
  <c r="G157" i="12"/>
  <c r="F157" i="12"/>
  <c r="E157" i="12"/>
  <c r="E233" i="12"/>
  <c r="F233" i="12"/>
  <c r="G233" i="12"/>
  <c r="H233" i="12"/>
  <c r="I233" i="12"/>
  <c r="G197" i="12"/>
  <c r="J233" i="12"/>
  <c r="I229" i="12"/>
  <c r="J229" i="12"/>
  <c r="I225" i="12"/>
  <c r="J225" i="12"/>
  <c r="I221" i="12"/>
  <c r="J221" i="12"/>
  <c r="I217" i="12"/>
  <c r="J217" i="12"/>
  <c r="J173" i="12"/>
  <c r="E173" i="12"/>
  <c r="F173" i="12"/>
  <c r="G173" i="12"/>
  <c r="H173" i="12"/>
  <c r="I173" i="12"/>
  <c r="J169" i="12"/>
  <c r="I169" i="12"/>
  <c r="J165" i="12"/>
  <c r="I165" i="12"/>
  <c r="J161" i="12"/>
  <c r="I161" i="12"/>
  <c r="J157" i="12"/>
  <c r="I157" i="12"/>
  <c r="I273" i="12"/>
  <c r="J268" i="12"/>
  <c r="E295" i="12"/>
  <c r="E299" i="12"/>
  <c r="F295" i="12"/>
  <c r="F299" i="12"/>
  <c r="G295" i="12"/>
  <c r="G299" i="12"/>
  <c r="H295" i="12"/>
  <c r="H299" i="12"/>
  <c r="I299" i="12"/>
  <c r="J269" i="12"/>
  <c r="E296" i="12"/>
  <c r="E300" i="12"/>
  <c r="F296" i="12"/>
  <c r="F300" i="12"/>
  <c r="G296" i="12"/>
  <c r="G300" i="12"/>
  <c r="H296" i="12"/>
  <c r="H300" i="12"/>
  <c r="I300" i="12"/>
  <c r="J270" i="12"/>
  <c r="E297" i="12"/>
  <c r="E301" i="12"/>
  <c r="F297" i="12"/>
  <c r="F301" i="12"/>
  <c r="G297" i="12"/>
  <c r="G301" i="12"/>
  <c r="H297" i="12"/>
  <c r="H301" i="12"/>
  <c r="I301" i="12"/>
  <c r="J271" i="12"/>
  <c r="E298" i="12"/>
  <c r="E302" i="12"/>
  <c r="F298" i="12"/>
  <c r="F302" i="12"/>
  <c r="G298" i="12"/>
  <c r="G302" i="12"/>
  <c r="H298" i="12"/>
  <c r="H302" i="12"/>
  <c r="I302" i="12"/>
  <c r="G261" i="12"/>
  <c r="E272" i="12"/>
  <c r="F272" i="12"/>
  <c r="G272" i="12"/>
  <c r="H272" i="12"/>
  <c r="I272" i="12"/>
  <c r="G259" i="12"/>
  <c r="C308" i="12"/>
  <c r="C306" i="12"/>
  <c r="E303" i="12"/>
  <c r="F303" i="12"/>
  <c r="G303" i="12"/>
  <c r="H303" i="12"/>
  <c r="G260" i="12"/>
  <c r="C307" i="12"/>
  <c r="C309" i="12"/>
  <c r="C319" i="12"/>
  <c r="C320" i="12"/>
  <c r="C321" i="12"/>
  <c r="C322" i="12"/>
  <c r="E309" i="12"/>
  <c r="C313" i="12"/>
  <c r="C314" i="12"/>
  <c r="D276" i="12"/>
  <c r="D277" i="12"/>
  <c r="D278" i="12"/>
  <c r="C315" i="12"/>
  <c r="C316" i="12"/>
  <c r="D307" i="12"/>
  <c r="G307" i="12"/>
  <c r="E307" i="12"/>
  <c r="F307" i="12"/>
  <c r="D306" i="12"/>
  <c r="I304" i="12"/>
  <c r="H304" i="12"/>
  <c r="G304" i="12"/>
  <c r="F304" i="12"/>
  <c r="E304" i="12"/>
  <c r="I303" i="12"/>
  <c r="I268" i="12"/>
  <c r="I269" i="12"/>
  <c r="I270" i="12"/>
  <c r="I271" i="12"/>
  <c r="C277" i="12"/>
  <c r="C275" i="12"/>
  <c r="C276" i="12"/>
  <c r="C278" i="12"/>
  <c r="C288" i="12"/>
  <c r="C289" i="12"/>
  <c r="C290" i="12"/>
  <c r="C291" i="12"/>
  <c r="E278" i="12"/>
  <c r="C282" i="12"/>
  <c r="C283" i="12"/>
  <c r="C284" i="12"/>
  <c r="C285" i="12"/>
  <c r="G276" i="12"/>
  <c r="E276" i="12"/>
  <c r="F276" i="12"/>
  <c r="D275" i="12"/>
  <c r="H273" i="12"/>
  <c r="G273" i="12"/>
  <c r="F273" i="12"/>
  <c r="E273" i="12"/>
  <c r="D241" i="12"/>
  <c r="I248" i="12"/>
  <c r="C241" i="12"/>
  <c r="E241" i="12"/>
  <c r="I246" i="12"/>
  <c r="I247" i="12"/>
  <c r="I249" i="12"/>
  <c r="E234" i="12"/>
  <c r="F234" i="12"/>
  <c r="G234" i="12"/>
  <c r="H234" i="12"/>
  <c r="I234" i="12"/>
  <c r="G195" i="12"/>
  <c r="C239" i="12"/>
  <c r="C237" i="12"/>
  <c r="G196" i="12"/>
  <c r="C238" i="12"/>
  <c r="C240" i="12"/>
  <c r="D239" i="12"/>
  <c r="D238" i="12"/>
  <c r="D240" i="12"/>
  <c r="E246" i="12"/>
  <c r="E247" i="12"/>
  <c r="E248" i="12"/>
  <c r="E249" i="12"/>
  <c r="E240" i="12"/>
  <c r="C246" i="12"/>
  <c r="C247" i="12"/>
  <c r="C248" i="12"/>
  <c r="C249" i="12"/>
  <c r="D242" i="12"/>
  <c r="C242" i="12"/>
  <c r="I240" i="12"/>
  <c r="H240" i="12"/>
  <c r="I239" i="12"/>
  <c r="E239" i="12"/>
  <c r="H239" i="12"/>
  <c r="I238" i="12"/>
  <c r="E238" i="12"/>
  <c r="H238" i="12"/>
  <c r="G238" i="12"/>
  <c r="F238" i="12"/>
  <c r="D237" i="12"/>
  <c r="E235" i="12" a="1"/>
  <c r="E235" i="12"/>
  <c r="F235" i="12" a="1"/>
  <c r="F235" i="12"/>
  <c r="G235" i="12" a="1"/>
  <c r="G235" i="12"/>
  <c r="H235" i="12" a="1"/>
  <c r="H235" i="12"/>
  <c r="I235" i="12"/>
  <c r="D181" i="12"/>
  <c r="I188" i="12"/>
  <c r="C181" i="12"/>
  <c r="E181" i="12"/>
  <c r="I186" i="12"/>
  <c r="I187" i="12"/>
  <c r="I189" i="12"/>
  <c r="G137" i="12"/>
  <c r="E174" i="12"/>
  <c r="F174" i="12"/>
  <c r="G174" i="12"/>
  <c r="H174" i="12"/>
  <c r="I174" i="12"/>
  <c r="G135" i="12"/>
  <c r="C179" i="12"/>
  <c r="C177" i="12"/>
  <c r="G136" i="12"/>
  <c r="C178" i="12"/>
  <c r="C180" i="12"/>
  <c r="D179" i="12"/>
  <c r="D178" i="12"/>
  <c r="D180" i="12"/>
  <c r="E186" i="12"/>
  <c r="E187" i="12"/>
  <c r="E188" i="12"/>
  <c r="E189" i="12"/>
  <c r="E180" i="12"/>
  <c r="C186" i="12"/>
  <c r="C187" i="12"/>
  <c r="C188" i="12"/>
  <c r="C189" i="12"/>
  <c r="D182" i="12"/>
  <c r="C182" i="12"/>
  <c r="I180" i="12"/>
  <c r="H180" i="12"/>
  <c r="I179" i="12"/>
  <c r="E179" i="12"/>
  <c r="H179" i="12"/>
  <c r="I178" i="12"/>
  <c r="E178" i="12"/>
  <c r="H178" i="12"/>
  <c r="G178" i="12"/>
  <c r="F178" i="12"/>
  <c r="D177" i="12"/>
  <c r="E175" i="12" a="1"/>
  <c r="E175" i="12"/>
  <c r="F175" i="12" a="1"/>
  <c r="F175" i="12"/>
  <c r="G175" i="12" a="1"/>
  <c r="G175" i="12"/>
  <c r="H175" i="12" a="1"/>
  <c r="H175" i="12"/>
  <c r="I175" i="12"/>
  <c r="J100" i="12"/>
  <c r="J101" i="12"/>
  <c r="J102" i="12"/>
  <c r="J103" i="12"/>
  <c r="J104" i="12"/>
  <c r="J105" i="12"/>
  <c r="J106" i="12"/>
  <c r="J107" i="12"/>
  <c r="J108" i="12"/>
  <c r="J109" i="12"/>
  <c r="G93" i="12"/>
  <c r="E110" i="12"/>
  <c r="F110" i="12"/>
  <c r="G110" i="12"/>
  <c r="H110" i="12"/>
  <c r="I110" i="12"/>
  <c r="J110" i="12"/>
  <c r="G91" i="12"/>
  <c r="C115" i="12"/>
  <c r="C123" i="12"/>
  <c r="C113" i="12"/>
  <c r="C121" i="12"/>
  <c r="G92" i="12"/>
  <c r="C114" i="12"/>
  <c r="C122" i="12"/>
  <c r="C124" i="12"/>
  <c r="D123" i="12"/>
  <c r="D122" i="12"/>
  <c r="D124" i="12"/>
  <c r="E128" i="12"/>
  <c r="E129" i="12"/>
  <c r="E130" i="12"/>
  <c r="E131" i="12"/>
  <c r="E124" i="12"/>
  <c r="C128" i="12"/>
  <c r="C129" i="12"/>
  <c r="C130" i="12"/>
  <c r="C131" i="12"/>
  <c r="E123" i="12"/>
  <c r="G122" i="12"/>
  <c r="E122" i="12"/>
  <c r="F122" i="12"/>
  <c r="D121" i="12"/>
  <c r="C118" i="12"/>
  <c r="C116" i="12"/>
  <c r="J111" i="12"/>
  <c r="I111" i="12"/>
  <c r="H111" i="12"/>
  <c r="G111" i="12"/>
  <c r="F111" i="12"/>
  <c r="E111" i="12"/>
  <c r="F54" i="12"/>
  <c r="G54" i="12"/>
  <c r="H54" i="12"/>
  <c r="I54" i="12"/>
  <c r="J55" i="12"/>
  <c r="J56" i="12"/>
  <c r="J57" i="12"/>
  <c r="J58" i="12"/>
  <c r="J59" i="12"/>
  <c r="J60" i="12"/>
  <c r="J61" i="12"/>
  <c r="J62" i="12"/>
  <c r="J63" i="12"/>
  <c r="J64" i="12"/>
  <c r="G48" i="12"/>
  <c r="E65" i="12"/>
  <c r="F65" i="12"/>
  <c r="G65" i="12"/>
  <c r="H65" i="12"/>
  <c r="I65" i="12"/>
  <c r="J65" i="12"/>
  <c r="G46" i="12"/>
  <c r="C70" i="12"/>
  <c r="C78" i="12"/>
  <c r="C68" i="12"/>
  <c r="C76" i="12"/>
  <c r="G47" i="12"/>
  <c r="C69" i="12"/>
  <c r="C77" i="12"/>
  <c r="C79" i="12"/>
  <c r="D78" i="12"/>
  <c r="D77" i="12"/>
  <c r="D79" i="12"/>
  <c r="E83" i="12"/>
  <c r="E84" i="12"/>
  <c r="E85" i="12"/>
  <c r="E86" i="12"/>
  <c r="E79" i="12"/>
  <c r="C83" i="12"/>
  <c r="C84" i="12"/>
  <c r="C85" i="12"/>
  <c r="C86" i="12"/>
  <c r="E78" i="12"/>
  <c r="G77" i="12"/>
  <c r="E77" i="12"/>
  <c r="F77" i="12"/>
  <c r="D76" i="12"/>
  <c r="C73" i="12"/>
  <c r="C71" i="12"/>
  <c r="J66" i="12"/>
  <c r="I66" i="12"/>
  <c r="H66" i="12"/>
  <c r="G66" i="12"/>
  <c r="F66" i="12"/>
  <c r="E66" i="12"/>
  <c r="H10" i="12"/>
  <c r="H11" i="12"/>
  <c r="H12" i="12"/>
  <c r="H13" i="12"/>
  <c r="G3" i="12"/>
  <c r="E14" i="12"/>
  <c r="F14" i="12"/>
  <c r="G14" i="12"/>
  <c r="H14" i="12"/>
  <c r="G1" i="12"/>
  <c r="C19" i="12"/>
  <c r="C27" i="12"/>
  <c r="C17" i="12"/>
  <c r="C25" i="12"/>
  <c r="G2" i="12"/>
  <c r="C18" i="12"/>
  <c r="C26" i="12"/>
  <c r="C28" i="12"/>
  <c r="D27" i="12"/>
  <c r="D26" i="12"/>
  <c r="D28" i="12"/>
  <c r="C38" i="12"/>
  <c r="C39" i="12"/>
  <c r="C40" i="12"/>
  <c r="C41" i="12"/>
  <c r="E28" i="12"/>
  <c r="C32" i="12"/>
  <c r="C33" i="12"/>
  <c r="C34" i="12"/>
  <c r="C35" i="12"/>
  <c r="E27" i="12"/>
  <c r="G26" i="12"/>
  <c r="E26" i="12"/>
  <c r="F26" i="12"/>
  <c r="D25" i="12"/>
  <c r="C22" i="12"/>
  <c r="C20" i="12"/>
  <c r="H15" i="12"/>
  <c r="G15" i="12"/>
  <c r="F15" i="12"/>
  <c r="E15" i="12"/>
</calcChain>
</file>

<file path=xl/sharedStrings.xml><?xml version="1.0" encoding="utf-8"?>
<sst xmlns="http://schemas.openxmlformats.org/spreadsheetml/2006/main" count="551" uniqueCount="344">
  <si>
    <t>Crit F (fixed)</t>
    <phoneticPr fontId="3" type="noConversion"/>
  </si>
  <si>
    <t>Original X's</t>
    <phoneticPr fontId="6" type="noConversion"/>
  </si>
  <si>
    <t>Criterion F</t>
    <phoneticPr fontId="6" type="noConversion"/>
  </si>
  <si>
    <t>Between</t>
    <phoneticPr fontId="6" type="noConversion"/>
  </si>
  <si>
    <t>Interaction</t>
    <phoneticPr fontId="6" type="noConversion"/>
  </si>
  <si>
    <t>CONFIDENCE INTERVALS</t>
    <phoneticPr fontId="6" type="noConversion"/>
  </si>
  <si>
    <t>"Within-subject" confidence interval</t>
    <phoneticPr fontId="6" type="noConversion"/>
  </si>
  <si>
    <t>40 watts</t>
  </si>
  <si>
    <t>60 watts</t>
  </si>
  <si>
    <t>75 watts</t>
  </si>
  <si>
    <t>150 watts</t>
  </si>
  <si>
    <t>relevant SE:</t>
    <phoneticPr fontId="6" type="noConversion"/>
  </si>
  <si>
    <t>criterion t:</t>
    <phoneticPr fontId="6" type="noConversion"/>
  </si>
  <si>
    <t>CI magnitude:</t>
    <phoneticPr fontId="6" type="noConversion"/>
  </si>
  <si>
    <r>
      <t>n</t>
    </r>
    <r>
      <rPr>
        <vertAlign val="subscript"/>
        <sz val="10"/>
        <color indexed="9"/>
        <rFont val="Verdana"/>
      </rPr>
      <t>C</t>
    </r>
    <r>
      <rPr>
        <sz val="10"/>
        <color indexed="9"/>
        <rFont val="Verdana"/>
      </rPr>
      <t xml:space="preserve"> =</t>
    </r>
    <phoneticPr fontId="3" type="noConversion"/>
  </si>
  <si>
    <r>
      <t>n</t>
    </r>
    <r>
      <rPr>
        <vertAlign val="subscript"/>
        <sz val="10"/>
        <color indexed="9"/>
        <rFont val="Verdana"/>
      </rPr>
      <t>R</t>
    </r>
    <r>
      <rPr>
        <sz val="10"/>
        <color indexed="9"/>
        <rFont val="Verdana"/>
      </rPr>
      <t xml:space="preserve"> =</t>
    </r>
    <phoneticPr fontId="3" type="noConversion"/>
  </si>
  <si>
    <t>Confidence interval around a cell mean (random)</t>
    <phoneticPr fontId="3" type="noConversion"/>
  </si>
  <si>
    <r>
      <t xml:space="preserve">relevant 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>:</t>
    </r>
    <phoneticPr fontId="6" type="noConversion"/>
  </si>
  <si>
    <r>
      <t xml:space="preserve">relevant 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>:</t>
    </r>
    <phoneticPr fontId="6" type="noConversion"/>
  </si>
  <si>
    <r>
      <t>T</t>
    </r>
    <r>
      <rPr>
        <vertAlign val="subscript"/>
        <sz val="10"/>
        <color indexed="9"/>
        <rFont val="Verdana"/>
      </rPr>
      <t>j1</t>
    </r>
    <r>
      <rPr>
        <sz val="10"/>
        <color indexed="9"/>
        <rFont val="Verdana"/>
      </rPr>
      <t>'s</t>
    </r>
    <phoneticPr fontId="3" type="noConversion"/>
  </si>
  <si>
    <t>Sam</t>
  </si>
  <si>
    <r>
      <t>T</t>
    </r>
    <r>
      <rPr>
        <vertAlign val="subscript"/>
        <sz val="10"/>
        <color indexed="9"/>
        <rFont val="Verdana"/>
      </rPr>
      <t>j3</t>
    </r>
    <r>
      <rPr>
        <sz val="10"/>
        <color indexed="9"/>
        <rFont val="Verdana"/>
      </rPr>
      <t>'s</t>
    </r>
    <phoneticPr fontId="3" type="noConversion"/>
  </si>
  <si>
    <r>
      <t>T</t>
    </r>
    <r>
      <rPr>
        <vertAlign val="subscript"/>
        <sz val="10"/>
        <color indexed="9"/>
        <rFont val="Verdana"/>
      </rPr>
      <t>j4</t>
    </r>
    <r>
      <rPr>
        <sz val="10"/>
        <color indexed="9"/>
        <rFont val="Verdana"/>
      </rPr>
      <t>'s</t>
    </r>
    <phoneticPr fontId="3" type="noConversion"/>
  </si>
  <si>
    <r>
      <t>T</t>
    </r>
    <r>
      <rPr>
        <vertAlign val="subscript"/>
        <sz val="10"/>
        <color indexed="9"/>
        <rFont val="Verdana"/>
      </rPr>
      <t>j5</t>
    </r>
    <r>
      <rPr>
        <sz val="10"/>
        <color indexed="9"/>
        <rFont val="Verdana"/>
      </rPr>
      <t>'s</t>
    </r>
    <phoneticPr fontId="3" type="noConversion"/>
  </si>
  <si>
    <t>Obt F (random)</t>
    <phoneticPr fontId="3" type="noConversion"/>
  </si>
  <si>
    <r>
      <t>s</t>
    </r>
    <r>
      <rPr>
        <vertAlign val="subscript"/>
        <sz val="10"/>
        <color indexed="9"/>
        <rFont val="Verdana"/>
      </rPr>
      <t>I</t>
    </r>
    <r>
      <rPr>
        <sz val="10"/>
        <color indexed="9"/>
        <rFont val="Verdana"/>
      </rPr>
      <t xml:space="preserve"> = </t>
    </r>
    <phoneticPr fontId="6" type="noConversion"/>
  </si>
  <si>
    <t>Bill</t>
    <phoneticPr fontId="6" type="noConversion"/>
  </si>
  <si>
    <t>Sam</t>
    <phoneticPr fontId="6" type="noConversion"/>
  </si>
  <si>
    <t>Crit F (random)</t>
    <phoneticPr fontId="3" type="noConversion"/>
  </si>
  <si>
    <t>Obt F (fixed)</t>
    <phoneticPr fontId="3" type="noConversion"/>
  </si>
  <si>
    <r>
      <t xml:space="preserve"> Season effects: </t>
    </r>
    <r>
      <rPr>
        <sz val="10"/>
        <color indexed="9"/>
        <rFont val="Symbol"/>
      </rPr>
      <t>a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Times"/>
      </rPr>
      <t>'s:</t>
    </r>
    <phoneticPr fontId="6" type="noConversion"/>
  </si>
  <si>
    <r>
      <t xml:space="preserve"> Season effects: </t>
    </r>
    <r>
      <rPr>
        <sz val="10"/>
        <color indexed="9"/>
        <rFont val="Symbol"/>
      </rP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Times"/>
      </rPr>
      <t>'s:</t>
    </r>
    <phoneticPr fontId="6" type="noConversion"/>
  </si>
  <si>
    <r>
      <t>Subj effects (</t>
    </r>
    <r>
      <rPr>
        <sz val="10"/>
        <color indexed="9"/>
        <rFont val="Symbol"/>
      </rPr>
      <t>b</t>
    </r>
    <r>
      <rPr>
        <vertAlign val="subscript"/>
        <sz val="10"/>
        <color indexed="9"/>
        <rFont val="Verdana"/>
      </rPr>
      <t>k</t>
    </r>
    <r>
      <rPr>
        <sz val="10"/>
        <color indexed="9"/>
        <rFont val="Verdana"/>
      </rPr>
      <t>'s)</t>
    </r>
    <phoneticPr fontId="6" type="noConversion"/>
  </si>
  <si>
    <r>
      <t>T</t>
    </r>
    <r>
      <rPr>
        <vertAlign val="subscript"/>
        <sz val="10"/>
        <color indexed="9"/>
        <rFont val="Verdana"/>
      </rPr>
      <t>Rk</t>
    </r>
    <r>
      <rPr>
        <sz val="10"/>
        <color indexed="9"/>
        <rFont val="Verdana"/>
      </rPr>
      <t>'s</t>
    </r>
    <phoneticPr fontId="3" type="noConversion"/>
  </si>
  <si>
    <r>
      <t>M</t>
    </r>
    <r>
      <rPr>
        <vertAlign val="subscript"/>
        <sz val="10"/>
        <color indexed="9"/>
        <rFont val="Verdana"/>
      </rPr>
      <t>Rk</t>
    </r>
    <r>
      <rPr>
        <sz val="10"/>
        <color indexed="9"/>
        <rFont val="Verdana"/>
      </rPr>
      <t>'s</t>
    </r>
    <phoneticPr fontId="3" type="noConversion"/>
  </si>
  <si>
    <t>Problem 7: similar to Problem 1 (but with J = 4 instead of J = 3): Please do the following</t>
    <phoneticPr fontId="3" type="noConversion"/>
  </si>
  <si>
    <t>c) Remove subject variance as demonstrated in class, to get "corrected" individual subject curves. Assume when you do this that degrees of freedom for Subjects is zero</t>
    <phoneticPr fontId="3" type="noConversion"/>
  </si>
  <si>
    <t>CONFIDENCE INTERVALS</t>
    <phoneticPr fontId="6" type="noConversion"/>
  </si>
  <si>
    <t>"Within-subject" confidence interval</t>
    <phoneticPr fontId="6" type="noConversion"/>
  </si>
  <si>
    <r>
      <t xml:space="preserve">relevant 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>:</t>
    </r>
    <phoneticPr fontId="6" type="noConversion"/>
  </si>
  <si>
    <t>criterion t:</t>
    <phoneticPr fontId="6" type="noConversion"/>
  </si>
  <si>
    <t>Real" confidence interval</t>
    <phoneticPr fontId="6" type="noConversion"/>
  </si>
  <si>
    <t>Experiment 1 (no treatment)</t>
    <phoneticPr fontId="6" type="noConversion"/>
  </si>
  <si>
    <t>n =</t>
  </si>
  <si>
    <t>N =</t>
  </si>
  <si>
    <t>J =</t>
  </si>
  <si>
    <r>
      <t>T</t>
    </r>
    <r>
      <rPr>
        <vertAlign val="subscript"/>
        <sz val="10"/>
        <color indexed="9"/>
        <rFont val="Verdana"/>
      </rPr>
      <t>j1</t>
    </r>
    <r>
      <rPr>
        <sz val="10"/>
        <color indexed="9"/>
        <rFont val="Verdana"/>
      </rPr>
      <t>'s</t>
    </r>
    <phoneticPr fontId="1" type="noConversion"/>
  </si>
  <si>
    <r>
      <t>T</t>
    </r>
    <r>
      <rPr>
        <vertAlign val="subscript"/>
        <sz val="10"/>
        <color indexed="9"/>
        <rFont val="Verdana"/>
      </rPr>
      <t>j2</t>
    </r>
    <r>
      <rPr>
        <sz val="10"/>
        <color indexed="9"/>
        <rFont val="Verdana"/>
      </rPr>
      <t>'s</t>
    </r>
    <phoneticPr fontId="1" type="noConversion"/>
  </si>
  <si>
    <r>
      <t>T</t>
    </r>
    <r>
      <rPr>
        <vertAlign val="subscript"/>
        <sz val="10"/>
        <color indexed="9"/>
        <rFont val="Verdana"/>
      </rPr>
      <t>j3</t>
    </r>
    <r>
      <rPr>
        <sz val="10"/>
        <color indexed="9"/>
        <rFont val="Verdana"/>
      </rPr>
      <t>'s</t>
    </r>
    <phoneticPr fontId="1" type="noConversion"/>
  </si>
  <si>
    <t>Ralph</t>
    <phoneticPr fontId="6" type="noConversion"/>
  </si>
  <si>
    <r>
      <t>T</t>
    </r>
    <r>
      <rPr>
        <vertAlign val="subscript"/>
        <sz val="10"/>
        <color indexed="9"/>
        <rFont val="Verdana"/>
      </rPr>
      <t>j4</t>
    </r>
    <r>
      <rPr>
        <sz val="10"/>
        <color indexed="9"/>
        <rFont val="Verdana"/>
      </rPr>
      <t>'s</t>
    </r>
    <phoneticPr fontId="1" type="noConversion"/>
  </si>
  <si>
    <t>Problem 6 (not from the book)</t>
    <phoneticPr fontId="6" type="noConversion"/>
  </si>
  <si>
    <r>
      <t>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's: </t>
    </r>
    <phoneticPr fontId="6" type="noConversion"/>
  </si>
  <si>
    <t>= T</t>
    <phoneticPr fontId="6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</si>
  <si>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's: </t>
    </r>
    <phoneticPr fontId="6" type="noConversion"/>
  </si>
  <si>
    <t>= M</t>
    <phoneticPr fontId="6" type="noConversion"/>
  </si>
  <si>
    <t>ANOVA table</t>
    <phoneticPr fontId="6" type="noConversion"/>
  </si>
  <si>
    <t>SS</t>
    <phoneticPr fontId="6" type="noConversion"/>
  </si>
  <si>
    <t>df</t>
    <phoneticPr fontId="6" type="noConversion"/>
  </si>
  <si>
    <t>MS</t>
    <phoneticPr fontId="6" type="noConversion"/>
  </si>
  <si>
    <t>Obtained F</t>
    <phoneticPr fontId="6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</si>
  <si>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's: </t>
    </r>
    <phoneticPr fontId="6" type="noConversion"/>
  </si>
  <si>
    <r>
      <t>s</t>
    </r>
    <r>
      <rPr>
        <vertAlign val="subscript"/>
        <sz val="10"/>
        <color indexed="9"/>
        <rFont val="Verdana"/>
      </rPr>
      <t>eI</t>
    </r>
    <r>
      <rPr>
        <sz val="10"/>
        <color indexed="9"/>
        <rFont val="Verdana"/>
      </rPr>
      <t xml:space="preserve"> = </t>
    </r>
    <phoneticPr fontId="6" type="noConversion"/>
  </si>
  <si>
    <t>Cond</t>
    <phoneticPr fontId="6" type="noConversion"/>
  </si>
  <si>
    <t>Subjects</t>
    <phoneticPr fontId="6" type="noConversion"/>
  </si>
  <si>
    <t>Subject</t>
    <phoneticPr fontId="6" type="noConversion"/>
  </si>
  <si>
    <t>Subject effects</t>
    <phoneticPr fontId="6" type="noConversion"/>
  </si>
  <si>
    <r>
      <t>T</t>
    </r>
    <r>
      <rPr>
        <vertAlign val="subscript"/>
        <sz val="10"/>
        <color indexed="9"/>
        <rFont val="Verdana"/>
      </rPr>
      <t>Rk</t>
    </r>
    <r>
      <rPr>
        <sz val="10"/>
        <color indexed="9"/>
        <rFont val="Verdana"/>
      </rPr>
      <t>'s</t>
    </r>
    <phoneticPr fontId="6" type="noConversion"/>
  </si>
  <si>
    <t>Corrections</t>
    <phoneticPr fontId="3" type="noConversion"/>
  </si>
  <si>
    <t>Each subject provides a rating from 0-10 as to how bright they perceive each lightbulb to be. The data are shown in the table below.</t>
    <phoneticPr fontId="6" type="noConversion"/>
  </si>
  <si>
    <t>Variances</t>
    <phoneticPr fontId="6" type="noConversion"/>
  </si>
  <si>
    <r>
      <t>m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</si>
  <si>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bscript"/>
        <sz val="10"/>
        <color indexed="9"/>
        <rFont val="Verdana"/>
      </rPr>
      <t>e</t>
    </r>
    <r>
      <rPr>
        <sz val="10"/>
        <color indexed="9"/>
        <rFont val="Verdana"/>
      </rPr>
      <t xml:space="preserve"> = </t>
    </r>
    <phoneticPr fontId="6" type="noConversion"/>
  </si>
  <si>
    <r>
      <t>Subject x Wattage interaction effects (</t>
    </r>
    <r>
      <rPr>
        <sz val="10"/>
        <color indexed="9"/>
        <rFont val="Symbol"/>
      </rPr>
      <t>g</t>
    </r>
    <r>
      <rPr>
        <vertAlign val="subscript"/>
        <sz val="10"/>
        <color indexed="9"/>
        <rFont val="Verdana"/>
      </rPr>
      <t>jk</t>
    </r>
    <r>
      <rPr>
        <sz val="10"/>
        <color indexed="9"/>
        <rFont val="Verdana"/>
      </rPr>
      <t>'s)</t>
    </r>
    <phoneticPr fontId="6" type="noConversion"/>
  </si>
  <si>
    <r>
      <t>s</t>
    </r>
    <r>
      <rPr>
        <vertAlign val="subscript"/>
        <sz val="10"/>
        <color indexed="9"/>
        <rFont val="Verdana"/>
      </rPr>
      <t>S</t>
    </r>
    <r>
      <rPr>
        <sz val="10"/>
        <color indexed="9"/>
        <rFont val="Verdana"/>
      </rPr>
      <t xml:space="preserve"> = </t>
    </r>
    <phoneticPr fontId="6" type="noConversion"/>
  </si>
  <si>
    <t>Company</t>
    <phoneticPr fontId="3" type="noConversion"/>
  </si>
  <si>
    <t>40 watts</t>
    <phoneticPr fontId="6" type="noConversion"/>
  </si>
  <si>
    <r>
      <t>T</t>
    </r>
    <r>
      <rPr>
        <vertAlign val="subscript"/>
        <sz val="10"/>
        <color indexed="9"/>
        <rFont val="Verdana"/>
      </rPr>
      <t>j2</t>
    </r>
    <r>
      <rPr>
        <sz val="10"/>
        <color indexed="9"/>
        <rFont val="Verdana"/>
      </rPr>
      <t>'s</t>
    </r>
    <phoneticPr fontId="3" type="noConversion"/>
  </si>
  <si>
    <r>
      <t>T</t>
    </r>
    <r>
      <rPr>
        <vertAlign val="subscript"/>
        <sz val="10"/>
        <color indexed="9"/>
        <rFont val="Verdana"/>
      </rPr>
      <t>j5</t>
    </r>
    <r>
      <rPr>
        <sz val="10"/>
        <color indexed="9"/>
        <rFont val="Verdana"/>
      </rPr>
      <t>'s</t>
    </r>
    <phoneticPr fontId="3" type="noConversion"/>
  </si>
  <si>
    <t>Obt F (random)</t>
    <phoneticPr fontId="3" type="noConversion"/>
  </si>
  <si>
    <t>Crit F (random)</t>
    <phoneticPr fontId="3" type="noConversion"/>
  </si>
  <si>
    <t>Obt F (fixed)</t>
    <phoneticPr fontId="3" type="noConversion"/>
  </si>
  <si>
    <t>Crit F (fixed)</t>
    <phoneticPr fontId="3" type="noConversion"/>
  </si>
  <si>
    <t>Season</t>
    <phoneticPr fontId="3" type="noConversion"/>
  </si>
  <si>
    <t>Within</t>
    <phoneticPr fontId="3" type="noConversion"/>
  </si>
  <si>
    <t>Total</t>
    <phoneticPr fontId="3" type="noConversion"/>
  </si>
  <si>
    <t>Real" confidence interval</t>
    <phoneticPr fontId="6" type="noConversion"/>
  </si>
  <si>
    <t>Corrections</t>
    <phoneticPr fontId="6" type="noConversion"/>
  </si>
  <si>
    <t>Corrected X's</t>
    <phoneticPr fontId="6" type="noConversion"/>
  </si>
  <si>
    <t>Winter</t>
    <phoneticPr fontId="6" type="noConversion"/>
  </si>
  <si>
    <t>Ralph</t>
    <phoneticPr fontId="6" type="noConversion"/>
  </si>
  <si>
    <t>Irving</t>
    <phoneticPr fontId="6" type="noConversion"/>
  </si>
  <si>
    <t>Season effects</t>
    <phoneticPr fontId="6" type="noConversion"/>
  </si>
  <si>
    <t>Patient</t>
    <phoneticPr fontId="1" type="noConversion"/>
  </si>
  <si>
    <r>
      <t>T</t>
    </r>
    <r>
      <rPr>
        <vertAlign val="subscript"/>
        <sz val="10"/>
        <color indexed="9"/>
        <rFont val="Verdana"/>
      </rPr>
      <t>Rk</t>
    </r>
    <r>
      <rPr>
        <sz val="10"/>
        <color indexed="9"/>
        <rFont val="Verdana"/>
      </rPr>
      <t>'s</t>
    </r>
    <phoneticPr fontId="1" type="noConversion"/>
  </si>
  <si>
    <r>
      <t>M</t>
    </r>
    <r>
      <rPr>
        <vertAlign val="subscript"/>
        <sz val="10"/>
        <color indexed="9"/>
        <rFont val="Verdana"/>
      </rPr>
      <t>Rk</t>
    </r>
    <r>
      <rPr>
        <sz val="10"/>
        <color indexed="9"/>
        <rFont val="Verdana"/>
      </rPr>
      <t>'s</t>
    </r>
    <phoneticPr fontId="1" type="noConversion"/>
  </si>
  <si>
    <t>A lightbulb company is trying to determine how bright people perceive different wattage lightbulbs to be. So n = 3 different lightbulbs of J = 4 different wattages are shown to K = 5 subjects.</t>
    <phoneticPr fontId="6" type="noConversion"/>
  </si>
  <si>
    <t>SSC =</t>
  </si>
  <si>
    <t>SSR =</t>
  </si>
  <si>
    <t>SSI =</t>
  </si>
  <si>
    <t>SSW =</t>
  </si>
  <si>
    <t>SST =</t>
  </si>
  <si>
    <t>= SSB+SSW</t>
  </si>
  <si>
    <t>ANOVA table</t>
  </si>
  <si>
    <t>SS</t>
  </si>
  <si>
    <t>df</t>
  </si>
  <si>
    <t>MS</t>
  </si>
  <si>
    <t>Obtained F</t>
  </si>
  <si>
    <t>Criterion F</t>
  </si>
  <si>
    <t>Between</t>
  </si>
  <si>
    <t>Cond</t>
  </si>
  <si>
    <t>Subjects</t>
  </si>
  <si>
    <t>Interaction</t>
  </si>
  <si>
    <t>CONFIDENCE INTERVALS</t>
  </si>
  <si>
    <t>"Within-subject" confidence interval</t>
  </si>
  <si>
    <t>Real" confidence interval</t>
  </si>
  <si>
    <t>Experiment 1 (treatment)</t>
    <phoneticPr fontId="6" type="noConversion"/>
  </si>
  <si>
    <t>Problem 5</t>
    <phoneticPr fontId="6" type="noConversion"/>
  </si>
  <si>
    <t>relevant SE:</t>
    <phoneticPr fontId="6" type="noConversion"/>
  </si>
  <si>
    <t>Summer</t>
    <phoneticPr fontId="6" type="noConversion"/>
  </si>
  <si>
    <t>Fall</t>
    <phoneticPr fontId="6" type="noConversion"/>
  </si>
  <si>
    <t>Winter</t>
    <phoneticPr fontId="6" type="noConversion"/>
  </si>
  <si>
    <t>SSB =</t>
    <phoneticPr fontId="6" type="noConversion"/>
  </si>
  <si>
    <t>SSW =</t>
    <phoneticPr fontId="6" type="noConversion"/>
  </si>
  <si>
    <t>Fred</t>
    <phoneticPr fontId="6" type="noConversion"/>
  </si>
  <si>
    <t>SS</t>
    <phoneticPr fontId="6" type="noConversion"/>
  </si>
  <si>
    <t>df</t>
    <phoneticPr fontId="6" type="noConversion"/>
  </si>
  <si>
    <t>CONFIDENCE INTERVALS around condition means</t>
    <phoneticPr fontId="3" type="noConversion"/>
  </si>
  <si>
    <t>Confidence interval around a cell mean (random)</t>
    <phoneticPr fontId="3" type="noConversion"/>
  </si>
  <si>
    <t>a) Plot the individual subject curves along with the condition means</t>
    <phoneticPr fontId="3" type="noConversion"/>
  </si>
  <si>
    <r>
      <t>n</t>
    </r>
    <r>
      <rPr>
        <vertAlign val="subscript"/>
        <sz val="10"/>
        <color indexed="9"/>
        <rFont val="Verdana"/>
      </rPr>
      <t>C</t>
    </r>
    <r>
      <rPr>
        <sz val="10"/>
        <color indexed="9"/>
        <rFont val="Verdana"/>
      </rPr>
      <t xml:space="preserve"> =</t>
    </r>
    <phoneticPr fontId="3" type="noConversion"/>
  </si>
  <si>
    <r>
      <t>n</t>
    </r>
    <r>
      <rPr>
        <vertAlign val="subscript"/>
        <sz val="10"/>
        <color indexed="9"/>
        <rFont val="Verdana"/>
      </rPr>
      <t>R</t>
    </r>
    <r>
      <rPr>
        <sz val="10"/>
        <color indexed="9"/>
        <rFont val="Verdana"/>
      </rPr>
      <t xml:space="preserve"> =</t>
    </r>
    <phoneticPr fontId="3" type="noConversion"/>
  </si>
  <si>
    <t>Variances</t>
    <phoneticPr fontId="6" type="noConversion"/>
  </si>
  <si>
    <r>
      <t>m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</si>
  <si>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bscript"/>
        <sz val="10"/>
        <color indexed="9"/>
        <rFont val="Verdana"/>
      </rPr>
      <t>e</t>
    </r>
    <r>
      <rPr>
        <sz val="10"/>
        <color indexed="9"/>
        <rFont val="Verdana"/>
      </rPr>
      <t xml:space="preserve"> = </t>
    </r>
    <phoneticPr fontId="6" type="noConversion"/>
  </si>
  <si>
    <r>
      <t>Subject x Season interaction effects (</t>
    </r>
    <r>
      <rPr>
        <sz val="10"/>
        <color indexed="9"/>
        <rFont val="Symbol"/>
      </rPr>
      <t>g</t>
    </r>
    <r>
      <rPr>
        <vertAlign val="subscript"/>
        <sz val="10"/>
        <color indexed="9"/>
        <rFont val="Verdana"/>
      </rPr>
      <t>jk</t>
    </r>
    <r>
      <rPr>
        <sz val="10"/>
        <color indexed="9"/>
        <rFont val="Verdana"/>
      </rPr>
      <t>'s)</t>
    </r>
    <phoneticPr fontId="6" type="noConversion"/>
  </si>
  <si>
    <t>Spring</t>
    <phoneticPr fontId="6" type="noConversion"/>
  </si>
  <si>
    <t>b) Carry out an ANOVA, compute "within-subjects" as well as "real" confidence intervals</t>
    <phoneticPr fontId="3" type="noConversion"/>
  </si>
  <si>
    <t>nC =</t>
  </si>
  <si>
    <t>K =</t>
  </si>
  <si>
    <t>nR =</t>
  </si>
  <si>
    <t xml:space="preserve">a = </t>
  </si>
  <si>
    <t xml:space="preserve">% confidence = </t>
  </si>
  <si>
    <r>
      <t>s</t>
    </r>
    <r>
      <rPr>
        <vertAlign val="subscript"/>
        <sz val="10"/>
        <color indexed="9"/>
        <rFont val="Verdana"/>
      </rPr>
      <t>S</t>
    </r>
    <r>
      <rPr>
        <sz val="10"/>
        <color indexed="9"/>
        <rFont val="Verdana"/>
      </rPr>
      <t xml:space="preserve"> = </t>
    </r>
    <phoneticPr fontId="6" type="noConversion"/>
  </si>
  <si>
    <t>Day</t>
    <phoneticPr fontId="6" type="noConversion"/>
  </si>
  <si>
    <t>Subject</t>
  </si>
  <si>
    <t>Subject effects</t>
  </si>
  <si>
    <r>
      <t>m</t>
    </r>
    <r>
      <rPr>
        <sz val="10"/>
        <color indexed="9"/>
        <rFont val="Times"/>
      </rPr>
      <t>'s</t>
    </r>
    <phoneticPr fontId="6" type="noConversion"/>
  </si>
  <si>
    <t>TRk's</t>
  </si>
  <si>
    <t xml:space="preserve">Tj's: </t>
  </si>
  <si>
    <t>= T</t>
  </si>
  <si>
    <t xml:space="preserve">Mj's: </t>
  </si>
  <si>
    <t>= M</t>
  </si>
  <si>
    <t>SUMS OF SQUARES</t>
  </si>
  <si>
    <t>SSB =</t>
  </si>
  <si>
    <t>d) Plot your corrected individual subject curves</t>
    <phoneticPr fontId="3" type="noConversion"/>
  </si>
  <si>
    <t>Season</t>
    <phoneticPr fontId="3" type="noConversion"/>
  </si>
  <si>
    <t>Within</t>
    <phoneticPr fontId="3" type="noConversion"/>
  </si>
  <si>
    <t>Total</t>
    <phoneticPr fontId="3" type="noConversion"/>
  </si>
  <si>
    <t>CONFIDENCE INTERVALS around condition means</t>
    <phoneticPr fontId="3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</si>
  <si>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's: </t>
    </r>
    <phoneticPr fontId="6" type="noConversion"/>
  </si>
  <si>
    <t>= M</t>
    <phoneticPr fontId="6" type="noConversion"/>
  </si>
  <si>
    <t>SUMS OF SQUARES</t>
    <phoneticPr fontId="6" type="noConversion"/>
  </si>
  <si>
    <t>SST =</t>
    <phoneticPr fontId="6" type="noConversion"/>
  </si>
  <si>
    <t>ANOVA table</t>
    <phoneticPr fontId="6" type="noConversion"/>
  </si>
  <si>
    <t>Obtained F</t>
    <phoneticPr fontId="6" type="noConversion"/>
  </si>
  <si>
    <t>Criterion F</t>
    <phoneticPr fontId="6" type="noConversion"/>
  </si>
  <si>
    <t>Between</t>
    <phoneticPr fontId="6" type="noConversion"/>
  </si>
  <si>
    <t>Cond</t>
    <phoneticPr fontId="6" type="noConversion"/>
  </si>
  <si>
    <t>Subjects</t>
    <phoneticPr fontId="6" type="noConversion"/>
  </si>
  <si>
    <t>Interaction</t>
    <phoneticPr fontId="6" type="noConversion"/>
  </si>
  <si>
    <t>Problem 1</t>
    <phoneticPr fontId="6" type="noConversion"/>
  </si>
  <si>
    <t>N =</t>
    <phoneticPr fontId="6" type="noConversion"/>
  </si>
  <si>
    <t>J =</t>
    <phoneticPr fontId="6" type="noConversion"/>
  </si>
  <si>
    <r>
      <t>n</t>
    </r>
    <r>
      <rPr>
        <vertAlign val="subscript"/>
        <sz val="10"/>
        <color indexed="9"/>
        <rFont val="Verdana"/>
      </rPr>
      <t>C</t>
    </r>
    <r>
      <rPr>
        <sz val="10"/>
        <color indexed="9"/>
        <rFont val="Verdana"/>
      </rPr>
      <t xml:space="preserve"> =</t>
    </r>
    <phoneticPr fontId="6" type="noConversion"/>
  </si>
  <si>
    <t>K =</t>
    <phoneticPr fontId="6" type="noConversion"/>
  </si>
  <si>
    <r>
      <t>n</t>
    </r>
    <r>
      <rPr>
        <vertAlign val="subscript"/>
        <sz val="10"/>
        <color indexed="9"/>
        <rFont val="Verdana"/>
      </rPr>
      <t>R</t>
    </r>
    <r>
      <rPr>
        <sz val="10"/>
        <color indexed="9"/>
        <rFont val="Verdana"/>
      </rPr>
      <t xml:space="preserve"> =</t>
    </r>
    <phoneticPr fontId="6" type="noConversion"/>
  </si>
  <si>
    <r>
      <t>a</t>
    </r>
    <r>
      <rPr>
        <sz val="10"/>
        <color indexed="9"/>
        <rFont val="Verdana"/>
      </rPr>
      <t xml:space="preserve"> = </t>
    </r>
    <phoneticPr fontId="6" type="noConversion"/>
  </si>
  <si>
    <t xml:space="preserve">% confidence = </t>
    <phoneticPr fontId="6" type="noConversion"/>
  </si>
  <si>
    <r>
      <t>s</t>
    </r>
    <r>
      <rPr>
        <vertAlign val="subscript"/>
        <sz val="10"/>
        <color indexed="9"/>
        <rFont val="Verdana"/>
      </rPr>
      <t>S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</si>
  <si>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bscript"/>
        <sz val="10"/>
        <color indexed="9"/>
        <rFont val="Verdana"/>
      </rPr>
      <t>eI</t>
    </r>
    <r>
      <rPr>
        <sz val="10"/>
        <color indexed="9"/>
        <rFont val="Verdana"/>
      </rPr>
      <t xml:space="preserve"> = </t>
    </r>
    <phoneticPr fontId="6" type="noConversion"/>
  </si>
  <si>
    <t>Audience size</t>
    <phoneticPr fontId="6" type="noConversion"/>
  </si>
  <si>
    <t>Subject</t>
    <phoneticPr fontId="6" type="noConversion"/>
  </si>
  <si>
    <t>Subject effects</t>
    <phoneticPr fontId="6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</si>
  <si>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's: </t>
    </r>
    <phoneticPr fontId="6" type="noConversion"/>
  </si>
  <si>
    <r>
      <t>T</t>
    </r>
    <r>
      <rPr>
        <vertAlign val="subscript"/>
        <sz val="10"/>
        <color indexed="9"/>
        <rFont val="Verdana"/>
      </rPr>
      <t>Rk</t>
    </r>
    <r>
      <rPr>
        <sz val="10"/>
        <color indexed="9"/>
        <rFont val="Verdana"/>
      </rPr>
      <t>'s</t>
    </r>
    <phoneticPr fontId="6" type="noConversion"/>
  </si>
  <si>
    <r>
      <t>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's: </t>
    </r>
    <phoneticPr fontId="6" type="noConversion"/>
  </si>
  <si>
    <t>= T</t>
    <phoneticPr fontId="6" type="noConversion"/>
  </si>
  <si>
    <t>Problem 2</t>
    <phoneticPr fontId="6" type="noConversion"/>
  </si>
  <si>
    <t>SSC =</t>
    <phoneticPr fontId="6" type="noConversion"/>
  </si>
  <si>
    <t>= SSB+SSW</t>
    <phoneticPr fontId="6" type="noConversion"/>
  </si>
  <si>
    <t>MS</t>
    <phoneticPr fontId="6" type="noConversion"/>
  </si>
  <si>
    <t>e) Carry out an ANOVA, re-compute the "within-subjects" and "real" confidence intervals. Comment on differences you get between your answers here compared to your answers in Part (b)</t>
    <phoneticPr fontId="3" type="noConversion"/>
  </si>
  <si>
    <t>n =</t>
    <phoneticPr fontId="6" type="noConversion"/>
  </si>
  <si>
    <t>N =</t>
    <phoneticPr fontId="6" type="noConversion"/>
  </si>
  <si>
    <t>J =</t>
    <phoneticPr fontId="6" type="noConversion"/>
  </si>
  <si>
    <r>
      <t>n</t>
    </r>
    <r>
      <rPr>
        <vertAlign val="subscript"/>
        <sz val="10"/>
        <color indexed="9"/>
        <rFont val="Verdana"/>
      </rPr>
      <t>C</t>
    </r>
    <r>
      <rPr>
        <sz val="10"/>
        <color indexed="9"/>
        <rFont val="Verdana"/>
      </rPr>
      <t xml:space="preserve"> =</t>
    </r>
    <phoneticPr fontId="6" type="noConversion"/>
  </si>
  <si>
    <t>K =</t>
    <phoneticPr fontId="6" type="noConversion"/>
  </si>
  <si>
    <r>
      <t>n</t>
    </r>
    <r>
      <rPr>
        <vertAlign val="subscript"/>
        <sz val="10"/>
        <color indexed="9"/>
        <rFont val="Verdana"/>
      </rPr>
      <t>R</t>
    </r>
    <r>
      <rPr>
        <sz val="10"/>
        <color indexed="9"/>
        <rFont val="Verdana"/>
      </rPr>
      <t xml:space="preserve"> =</t>
    </r>
    <phoneticPr fontId="6" type="noConversion"/>
  </si>
  <si>
    <r>
      <t>a</t>
    </r>
    <r>
      <rPr>
        <sz val="10"/>
        <color indexed="9"/>
        <rFont val="Verdana"/>
      </rPr>
      <t xml:space="preserve"> = </t>
    </r>
    <phoneticPr fontId="6" type="noConversion"/>
  </si>
  <si>
    <t xml:space="preserve">% confidence = </t>
    <phoneticPr fontId="6" type="noConversion"/>
  </si>
  <si>
    <r>
      <t>s</t>
    </r>
    <r>
      <rPr>
        <vertAlign val="subscript"/>
        <sz val="10"/>
        <color indexed="9"/>
        <rFont val="Verdana"/>
      </rPr>
      <t>S</t>
    </r>
    <r>
      <rPr>
        <sz val="10"/>
        <color indexed="9"/>
        <rFont val="Verdana"/>
      </rPr>
      <t xml:space="preserve"> = </t>
    </r>
    <phoneticPr fontId="6" type="noConversion"/>
  </si>
  <si>
    <t>Audience Size</t>
    <phoneticPr fontId="6" type="noConversion"/>
  </si>
  <si>
    <t>60 watts</t>
    <phoneticPr fontId="6" type="noConversion"/>
  </si>
  <si>
    <t>75 watts</t>
    <phoneticPr fontId="6" type="noConversion"/>
  </si>
  <si>
    <t>150 watts</t>
    <phoneticPr fontId="6" type="noConversion"/>
  </si>
  <si>
    <r>
      <t>s</t>
    </r>
    <r>
      <rPr>
        <vertAlign val="subscript"/>
        <sz val="10"/>
        <color indexed="9"/>
        <rFont val="Verdana"/>
      </rPr>
      <t>I</t>
    </r>
    <r>
      <rPr>
        <sz val="10"/>
        <color indexed="9"/>
        <rFont val="Verdana"/>
      </rPr>
      <t xml:space="preserve"> = </t>
    </r>
    <phoneticPr fontId="6" type="noConversion"/>
  </si>
  <si>
    <t>Wattage effects</t>
    <phoneticPr fontId="6" type="noConversion"/>
  </si>
  <si>
    <r>
      <t xml:space="preserve"> Wattage effects: </t>
    </r>
    <r>
      <rPr>
        <sz val="10"/>
        <color indexed="9"/>
        <rFont val="Symbol"/>
      </rPr>
      <t>a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Times"/>
      </rPr>
      <t>'s:</t>
    </r>
    <phoneticPr fontId="6" type="noConversion"/>
  </si>
  <si>
    <r>
      <t xml:space="preserve"> Wattage effects: </t>
    </r>
    <r>
      <rPr>
        <sz val="10"/>
        <color indexed="9"/>
        <rFont val="Symbol"/>
      </rP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Times"/>
      </rPr>
      <t>'s:</t>
    </r>
    <phoneticPr fontId="6" type="noConversion"/>
  </si>
  <si>
    <r>
      <t>Subject effects (</t>
    </r>
    <r>
      <rPr>
        <sz val="10"/>
        <color indexed="9"/>
        <rFont val="Symbol"/>
      </rPr>
      <t>b</t>
    </r>
    <r>
      <rPr>
        <vertAlign val="subscript"/>
        <sz val="10"/>
        <color indexed="9"/>
        <rFont val="Verdana"/>
      </rPr>
      <t>k</t>
    </r>
    <r>
      <rPr>
        <sz val="10"/>
        <color indexed="9"/>
        <rFont val="Verdana"/>
      </rPr>
      <t>'s)</t>
    </r>
    <phoneticPr fontId="6" type="noConversion"/>
  </si>
  <si>
    <t>CI magnitude:</t>
    <phoneticPr fontId="6" type="noConversion"/>
  </si>
  <si>
    <t>n =</t>
    <phoneticPr fontId="6" type="noConversion"/>
  </si>
  <si>
    <t>SSR =</t>
    <phoneticPr fontId="6" type="noConversion"/>
  </si>
  <si>
    <t>SSI =</t>
    <phoneticPr fontId="6" type="noConversion"/>
  </si>
  <si>
    <r>
      <t>s</t>
    </r>
    <r>
      <rPr>
        <vertAlign val="subscript"/>
        <sz val="10"/>
        <color indexed="9"/>
        <rFont val="Verdana"/>
      </rPr>
      <t>S</t>
    </r>
    <r>
      <rPr>
        <sz val="10"/>
        <color indexed="9"/>
        <rFont val="Verdana"/>
      </rPr>
      <t xml:space="preserve"> = </t>
    </r>
    <phoneticPr fontId="6" type="noConversion"/>
  </si>
  <si>
    <t>Spring</t>
    <phoneticPr fontId="6" type="noConversion"/>
  </si>
  <si>
    <t>Summer</t>
    <phoneticPr fontId="6" type="noConversion"/>
  </si>
  <si>
    <t>Fall</t>
    <phoneticPr fontId="6" type="noConversion"/>
  </si>
  <si>
    <t>Fundamental Equations</t>
    <phoneticPr fontId="13" type="noConversion"/>
  </si>
  <si>
    <t>Relating predicted Y (Y') and actual Y to X</t>
    <phoneticPr fontId="13" type="noConversion"/>
  </si>
  <si>
    <r>
      <t>Y</t>
    </r>
    <r>
      <rPr>
        <vertAlign val="subscript"/>
        <sz val="10"/>
        <rFont val="Verdana"/>
      </rPr>
      <t>i</t>
    </r>
    <r>
      <rPr>
        <sz val="10"/>
        <rFont val="Verdana"/>
      </rPr>
      <t>' = r(</t>
    </r>
    <r>
      <rPr>
        <sz val="10"/>
        <rFont val="Symbol"/>
      </rPr>
      <t>s</t>
    </r>
    <r>
      <rPr>
        <vertAlign val="subscript"/>
        <sz val="10"/>
        <rFont val="Verdana"/>
      </rPr>
      <t>Y</t>
    </r>
    <r>
      <rPr>
        <sz val="10"/>
        <rFont val="Verdana"/>
      </rPr>
      <t>/</t>
    </r>
    <r>
      <rPr>
        <sz val="10"/>
        <rFont val="Symbol"/>
      </rPr>
      <t>s</t>
    </r>
    <r>
      <rPr>
        <vertAlign val="subscript"/>
        <sz val="10"/>
        <rFont val="Verdana"/>
      </rPr>
      <t>X</t>
    </r>
    <r>
      <rPr>
        <sz val="10"/>
        <rFont val="Verdana"/>
      </rPr>
      <t>)(X</t>
    </r>
    <r>
      <rPr>
        <vertAlign val="subscript"/>
        <sz val="10"/>
        <rFont val="Verdana"/>
      </rPr>
      <t>i</t>
    </r>
    <r>
      <rPr>
        <sz val="10"/>
        <rFont val="Verdana"/>
      </rPr>
      <t>-</t>
    </r>
    <r>
      <rPr>
        <sz val="10"/>
        <rFont val="Symbol"/>
      </rPr>
      <t>m</t>
    </r>
    <r>
      <rPr>
        <vertAlign val="subscript"/>
        <sz val="10"/>
        <rFont val="Verdana"/>
      </rPr>
      <t>X</t>
    </r>
    <r>
      <rPr>
        <sz val="10"/>
        <rFont val="Verdana"/>
      </rPr>
      <t xml:space="preserve">) + </t>
    </r>
    <r>
      <rPr>
        <sz val="10"/>
        <rFont val="Symbol"/>
      </rPr>
      <t>m</t>
    </r>
    <r>
      <rPr>
        <vertAlign val="subscript"/>
        <sz val="10"/>
        <rFont val="Verdana"/>
      </rPr>
      <t>Y</t>
    </r>
  </si>
  <si>
    <r>
      <t>Y</t>
    </r>
    <r>
      <rPr>
        <vertAlign val="subscript"/>
        <sz val="10"/>
        <rFont val="Verdana"/>
      </rPr>
      <t>i</t>
    </r>
    <r>
      <rPr>
        <sz val="10"/>
        <rFont val="Verdana"/>
      </rPr>
      <t xml:space="preserve"> = Y</t>
    </r>
    <r>
      <rPr>
        <vertAlign val="subscript"/>
        <sz val="10"/>
        <rFont val="Verdana"/>
      </rPr>
      <t>i</t>
    </r>
    <r>
      <rPr>
        <sz val="10"/>
        <rFont val="Verdana"/>
      </rPr>
      <t>' + N(0,</t>
    </r>
    <r>
      <rPr>
        <sz val="10"/>
        <rFont val="Symbol"/>
      </rPr>
      <t>s</t>
    </r>
    <r>
      <rPr>
        <vertAlign val="subscript"/>
        <sz val="10"/>
        <rFont val="Verdana"/>
      </rPr>
      <t>Y</t>
    </r>
    <r>
      <rPr>
        <sz val="10"/>
        <rFont val="Verdana"/>
      </rPr>
      <t>(1-r</t>
    </r>
    <r>
      <rPr>
        <vertAlign val="superscript"/>
        <sz val="10"/>
        <rFont val="Verdana"/>
      </rPr>
      <t>2</t>
    </r>
    <r>
      <rPr>
        <sz val="10"/>
        <rFont val="Verdana"/>
      </rPr>
      <t>)) where N(</t>
    </r>
    <r>
      <rPr>
        <sz val="10"/>
        <rFont val="Symbol"/>
      </rPr>
      <t>m</t>
    </r>
    <r>
      <rPr>
        <sz val="10"/>
        <rFont val="Verdana"/>
      </rPr>
      <t xml:space="preserve">, </t>
    </r>
    <r>
      <rPr>
        <sz val="10"/>
        <rFont val="Symbol"/>
      </rPr>
      <t>s</t>
    </r>
    <r>
      <rPr>
        <sz val="10"/>
        <rFont val="Verdana"/>
      </rPr>
      <t xml:space="preserve">) is a number randomly drawn from a distribution with mean, </t>
    </r>
    <r>
      <rPr>
        <sz val="10"/>
        <rFont val="Symbol"/>
      </rPr>
      <t>m</t>
    </r>
    <r>
      <rPr>
        <sz val="10"/>
        <rFont val="Verdana"/>
      </rPr>
      <t xml:space="preserve">, and standard deviation, </t>
    </r>
    <r>
      <rPr>
        <sz val="10"/>
        <rFont val="Symbol"/>
      </rPr>
      <t>s</t>
    </r>
  </si>
  <si>
    <t>For computing confidence intervals around r</t>
    <phoneticPr fontId="13" type="noConversion"/>
  </si>
  <si>
    <t>To get z from r: z = 0.5 ln[(1+r)/(1-r)]</t>
    <phoneticPr fontId="13" type="noConversion"/>
  </si>
  <si>
    <t>z is distributed with a standard deviation equal to the square root of [1/(n-3)]</t>
    <phoneticPr fontId="13" type="noConversion"/>
  </si>
  <si>
    <r>
      <t>To get r from z: r = (e</t>
    </r>
    <r>
      <rPr>
        <vertAlign val="superscript"/>
        <sz val="10"/>
        <rFont val="Verdana"/>
      </rPr>
      <t>2z</t>
    </r>
    <r>
      <rPr>
        <sz val="10"/>
        <rFont val="Verdana"/>
      </rPr>
      <t xml:space="preserve"> - 1)/(e</t>
    </r>
    <r>
      <rPr>
        <vertAlign val="superscript"/>
        <sz val="10"/>
        <rFont val="Verdana"/>
      </rPr>
      <t>2z</t>
    </r>
    <r>
      <rPr>
        <sz val="10"/>
        <rFont val="Verdana"/>
      </rPr>
      <t xml:space="preserve"> + 1)</t>
    </r>
  </si>
  <si>
    <t>2</t>
    <phoneticPr fontId="13" type="noConversion"/>
  </si>
  <si>
    <r>
      <t>m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</si>
  <si>
    <r>
      <t>m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</si>
  <si>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</si>
  <si>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</si>
  <si>
    <r>
      <t xml:space="preserve">r </t>
    </r>
    <r>
      <rPr>
        <sz val="10"/>
        <color indexed="9"/>
        <rFont val="Verdana"/>
      </rPr>
      <t xml:space="preserve">(population r) = </t>
    </r>
  </si>
  <si>
    <t>Player</t>
    <phoneticPr fontId="13" type="noConversion"/>
  </si>
  <si>
    <t>X = Age</t>
    <phoneticPr fontId="13" type="noConversion"/>
  </si>
  <si>
    <t>Y = Average</t>
    <phoneticPr fontId="13" type="noConversion"/>
  </si>
  <si>
    <t>Y'</t>
    <phoneticPr fontId="13" type="noConversion"/>
  </si>
  <si>
    <t>Error</t>
    <phoneticPr fontId="13" type="noConversion"/>
  </si>
  <si>
    <t xml:space="preserve">n = </t>
    <phoneticPr fontId="13" type="noConversion"/>
  </si>
  <si>
    <r>
      <t>S</t>
    </r>
    <r>
      <rPr>
        <sz val="10"/>
        <color indexed="9"/>
        <rFont val="Verdana"/>
      </rPr>
      <t xml:space="preserve">X = </t>
    </r>
  </si>
  <si>
    <r>
      <t>S</t>
    </r>
    <r>
      <rPr>
        <sz val="10"/>
        <color indexed="9"/>
        <rFont val="Verdana"/>
      </rPr>
      <t xml:space="preserve">Y = </t>
    </r>
  </si>
  <si>
    <r>
      <t>(</t>
    </r>
    <r>
      <rPr>
        <sz val="10"/>
        <color indexed="9"/>
        <rFont val="Symbol"/>
      </rPr>
      <t>S</t>
    </r>
    <r>
      <rPr>
        <sz val="10"/>
        <color indexed="9"/>
        <rFont val="Verdana"/>
      </rPr>
      <t>X)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</si>
  <si>
    <r>
      <t>(</t>
    </r>
    <r>
      <rPr>
        <sz val="10"/>
        <color indexed="9"/>
        <rFont val="Symbol"/>
      </rPr>
      <t>S</t>
    </r>
    <r>
      <rPr>
        <sz val="10"/>
        <color indexed="9"/>
        <rFont val="Verdana"/>
      </rPr>
      <t>Y)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</si>
  <si>
    <r>
      <t>n</t>
    </r>
    <r>
      <rPr>
        <sz val="10"/>
        <color indexed="9"/>
        <rFont val="Symbol"/>
      </rPr>
      <t>S</t>
    </r>
    <r>
      <rPr>
        <sz val="10"/>
        <color indexed="9"/>
        <rFont val="Verdana"/>
      </rPr>
      <t>X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</si>
  <si>
    <r>
      <t>n</t>
    </r>
    <r>
      <rPr>
        <sz val="10"/>
        <color indexed="9"/>
        <rFont val="Symbol"/>
      </rPr>
      <t>S</t>
    </r>
    <r>
      <rPr>
        <sz val="10"/>
        <color indexed="9"/>
        <rFont val="Verdana"/>
      </rPr>
      <t>Y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</si>
  <si>
    <r>
      <t>n</t>
    </r>
    <r>
      <rPr>
        <sz val="10"/>
        <color indexed="9"/>
        <rFont val="Symbol"/>
      </rPr>
      <t>S</t>
    </r>
    <r>
      <rPr>
        <sz val="10"/>
        <color indexed="9"/>
        <rFont val="Verdana"/>
      </rPr>
      <t xml:space="preserve">XY = </t>
    </r>
  </si>
  <si>
    <r>
      <t>M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</si>
  <si>
    <r>
      <t>M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</si>
  <si>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</si>
  <si>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</si>
  <si>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</si>
  <si>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</si>
  <si>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 xml:space="preserve"> = </t>
    </r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</si>
  <si>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Y-Y'</t>
    </r>
    <r>
      <rPr>
        <sz val="10"/>
        <color indexed="9"/>
        <rFont val="Verdana"/>
      </rPr>
      <t xml:space="preserve"> = </t>
    </r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</si>
  <si>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 xml:space="preserve"> + 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Y-Y'</t>
    </r>
    <r>
      <rPr>
        <sz val="10"/>
        <color indexed="9"/>
        <rFont val="Verdana"/>
      </rPr>
      <t xml:space="preserve"> = </t>
    </r>
  </si>
  <si>
    <t>From equations</t>
    <phoneticPr fontId="13" type="noConversion"/>
  </si>
  <si>
    <t>From Excel</t>
    <phoneticPr fontId="13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</si>
  <si>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>/S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</t>
    </r>
  </si>
  <si>
    <t xml:space="preserve">b = slope = </t>
    <phoneticPr fontId="13" type="noConversion"/>
  </si>
  <si>
    <t xml:space="preserve">a = intercept = </t>
    <phoneticPr fontId="13" type="noConversion"/>
  </si>
  <si>
    <t xml:space="preserve">r = </t>
    <phoneticPr fontId="13" type="noConversion"/>
  </si>
  <si>
    <r>
      <t>r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</si>
  <si>
    <t>Confidence interval</t>
    <phoneticPr fontId="13" type="noConversion"/>
  </si>
  <si>
    <t xml:space="preserve">Conf level = </t>
    <phoneticPr fontId="13" type="noConversion"/>
  </si>
  <si>
    <t xml:space="preserve">obt z = </t>
    <phoneticPr fontId="13" type="noConversion"/>
  </si>
  <si>
    <t xml:space="preserve">z SD = </t>
    <phoneticPr fontId="13" type="noConversion"/>
  </si>
  <si>
    <t xml:space="preserve">crit z = </t>
    <phoneticPr fontId="13" type="noConversion"/>
  </si>
  <si>
    <t xml:space="preserve">upper z = </t>
    <phoneticPr fontId="13" type="noConversion"/>
  </si>
  <si>
    <t xml:space="preserve">lower z = </t>
    <phoneticPr fontId="13" type="noConversion"/>
  </si>
  <si>
    <t>Upper, lower CI magnitudes</t>
    <phoneticPr fontId="13" type="noConversion"/>
  </si>
  <si>
    <t xml:space="preserve">upper r = </t>
    <phoneticPr fontId="13" type="noConversion"/>
  </si>
  <si>
    <t xml:space="preserve">Obtained r = </t>
    <phoneticPr fontId="13" type="noConversion"/>
  </si>
  <si>
    <r>
      <t xml:space="preserve">CI contains </t>
    </r>
    <r>
      <rPr>
        <sz val="10"/>
        <color indexed="9"/>
        <rFont val="Symbol"/>
      </rPr>
      <t>r</t>
    </r>
    <r>
      <rPr>
        <sz val="10"/>
        <color indexed="9"/>
        <rFont val="Verdana"/>
      </rPr>
      <t xml:space="preserve">: </t>
    </r>
  </si>
  <si>
    <t xml:space="preserve">lower r = </t>
    <phoneticPr fontId="13" type="noConversion"/>
  </si>
  <si>
    <t>3</t>
    <phoneticPr fontId="13" type="noConversion"/>
  </si>
  <si>
    <r>
      <t>m</t>
    </r>
    <r>
      <rPr>
        <vertAlign val="subscript"/>
        <sz val="10"/>
        <color indexed="9"/>
        <rFont val="Verdana"/>
      </rPr>
      <t>XF</t>
    </r>
    <r>
      <rPr>
        <sz val="10"/>
        <color indexed="9"/>
        <rFont val="Verdana"/>
      </rPr>
      <t xml:space="preserve"> = </t>
    </r>
  </si>
  <si>
    <r>
      <t>m</t>
    </r>
    <r>
      <rPr>
        <vertAlign val="subscript"/>
        <sz val="10"/>
        <color indexed="9"/>
        <rFont val="Verdana"/>
      </rPr>
      <t>YF</t>
    </r>
    <r>
      <rPr>
        <sz val="10"/>
        <color indexed="9"/>
        <rFont val="Verdana"/>
      </rPr>
      <t xml:space="preserve"> = </t>
    </r>
  </si>
  <si>
    <t>For graphing regression line...</t>
    <phoneticPr fontId="13" type="noConversion"/>
  </si>
  <si>
    <r>
      <t>s</t>
    </r>
    <r>
      <rPr>
        <vertAlign val="subscript"/>
        <sz val="10"/>
        <color indexed="9"/>
        <rFont val="Verdana"/>
      </rPr>
      <t>XF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</si>
  <si>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F</t>
    </r>
    <r>
      <rPr>
        <sz val="10"/>
        <color indexed="9"/>
        <rFont val="Verdana"/>
      </rPr>
      <t xml:space="preserve"> = </t>
    </r>
  </si>
  <si>
    <r>
      <t>m</t>
    </r>
    <r>
      <rPr>
        <vertAlign val="subscript"/>
        <sz val="10"/>
        <color indexed="9"/>
        <rFont val="Verdana"/>
      </rPr>
      <t>XM</t>
    </r>
    <r>
      <rPr>
        <sz val="10"/>
        <color indexed="9"/>
        <rFont val="Verdana"/>
      </rPr>
      <t xml:space="preserve"> = </t>
    </r>
  </si>
  <si>
    <r>
      <t>m</t>
    </r>
    <r>
      <rPr>
        <vertAlign val="subscript"/>
        <sz val="10"/>
        <color indexed="9"/>
        <rFont val="Verdana"/>
      </rPr>
      <t>YM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</si>
  <si>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XM</t>
    </r>
    <r>
      <rPr>
        <sz val="10"/>
        <color indexed="9"/>
        <rFont val="Verdana"/>
      </rPr>
      <t xml:space="preserve"> = </t>
    </r>
  </si>
  <si>
    <r>
      <t>s</t>
    </r>
    <r>
      <rPr>
        <vertAlign val="subscript"/>
        <sz val="10"/>
        <color indexed="9"/>
        <rFont val="Verdana"/>
      </rPr>
      <t>YM</t>
    </r>
    <r>
      <rPr>
        <sz val="10"/>
        <color indexed="9"/>
        <rFont val="Verdana"/>
      </rPr>
      <t xml:space="preserve"> = </t>
    </r>
  </si>
  <si>
    <t>X = Weight</t>
    <phoneticPr fontId="13" type="noConversion"/>
  </si>
  <si>
    <t>Y = Distance</t>
    <phoneticPr fontId="13" type="noConversion"/>
  </si>
  <si>
    <t>Error</t>
    <phoneticPr fontId="13" type="noConversion"/>
  </si>
  <si>
    <t>Maggie</t>
  </si>
  <si>
    <t>Sylvia</t>
  </si>
  <si>
    <t>Elaine</t>
  </si>
  <si>
    <t>Suzanne</t>
  </si>
  <si>
    <t>Elizabeth</t>
  </si>
  <si>
    <t>Linda</t>
  </si>
  <si>
    <t>Betsy</t>
  </si>
  <si>
    <t>Emma</t>
  </si>
  <si>
    <t>Julia</t>
  </si>
  <si>
    <t>Fred</t>
  </si>
  <si>
    <t>Robert</t>
  </si>
  <si>
    <t>Geoff</t>
  </si>
  <si>
    <t>Earl</t>
  </si>
  <si>
    <t>John</t>
  </si>
  <si>
    <t>Paul</t>
  </si>
  <si>
    <t>George</t>
  </si>
  <si>
    <t>Ringo</t>
  </si>
  <si>
    <t>Alex</t>
  </si>
  <si>
    <t xml:space="preserve">n = </t>
    <phoneticPr fontId="13" type="noConversion"/>
  </si>
  <si>
    <t>From equations</t>
    <phoneticPr fontId="13" type="noConversion"/>
  </si>
  <si>
    <t xml:space="preserve">b = slope = </t>
    <phoneticPr fontId="13" type="noConversion"/>
  </si>
  <si>
    <t xml:space="preserve">r = </t>
    <phoneticPr fontId="13" type="noConversion"/>
  </si>
  <si>
    <t>Confidence interval</t>
    <phoneticPr fontId="13" type="noConversion"/>
  </si>
  <si>
    <t xml:space="preserve">Conf level = </t>
    <phoneticPr fontId="13" type="noConversion"/>
  </si>
  <si>
    <t xml:space="preserve">obt z = </t>
    <phoneticPr fontId="13" type="noConversion"/>
  </si>
  <si>
    <t xml:space="preserve">z SD = </t>
    <phoneticPr fontId="13" type="noConversion"/>
  </si>
  <si>
    <t xml:space="preserve">crit z = </t>
    <phoneticPr fontId="13" type="noConversion"/>
  </si>
  <si>
    <t xml:space="preserve">upper z = </t>
    <phoneticPr fontId="13" type="noConversion"/>
  </si>
  <si>
    <t xml:space="preserve">lower z = </t>
    <phoneticPr fontId="13" type="noConversion"/>
  </si>
  <si>
    <t>Upper, lower CI magnitudes</t>
    <phoneticPr fontId="13" type="noConversion"/>
  </si>
  <si>
    <t xml:space="preserve">upper r = </t>
    <phoneticPr fontId="13" type="noConversion"/>
  </si>
  <si>
    <t xml:space="preserve">Obtained r = </t>
    <phoneticPr fontId="13" type="noConversion"/>
  </si>
  <si>
    <t xml:space="preserve">lower r = </t>
    <phoneticPr fontId="13" type="noConversion"/>
  </si>
  <si>
    <t>Compute data separately for genders</t>
    <phoneticPr fontId="13" type="noConversion"/>
  </si>
  <si>
    <t>Females</t>
    <phoneticPr fontId="13" type="noConversion"/>
  </si>
  <si>
    <t>Males</t>
    <phoneticPr fontId="13" type="noConversion"/>
  </si>
  <si>
    <t xml:space="preserve">r = </t>
    <phoneticPr fontId="13" type="noConversion"/>
  </si>
  <si>
    <t xml:space="preserve">slope = </t>
    <phoneticPr fontId="13" type="noConversion"/>
  </si>
  <si>
    <t xml:space="preserve">intercept = </t>
    <phoneticPr fontId="13" type="noConversion"/>
  </si>
  <si>
    <t>5</t>
    <phoneticPr fontId="13" type="noConversion"/>
  </si>
  <si>
    <t>Person</t>
    <phoneticPr fontId="13" type="noConversion"/>
  </si>
  <si>
    <t>M=1; F=0</t>
    <phoneticPr fontId="13" type="noConversion"/>
  </si>
  <si>
    <t>R=1; L= 0</t>
    <phoneticPr fontId="13" type="noConversion"/>
  </si>
  <si>
    <t xml:space="preserve">n = </t>
    <phoneticPr fontId="13" type="noConversion"/>
  </si>
  <si>
    <t>From Excel</t>
    <phoneticPr fontId="13" type="noConversion"/>
  </si>
  <si>
    <t xml:space="preserve">b = slope = </t>
    <phoneticPr fontId="13" type="noConversion"/>
  </si>
  <si>
    <t xml:space="preserve">a = intercept = </t>
    <phoneticPr fontId="13" type="noConversion"/>
  </si>
  <si>
    <t>Confidence interval</t>
    <phoneticPr fontId="13" type="noConversion"/>
  </si>
  <si>
    <t xml:space="preserve">Conf level = </t>
    <phoneticPr fontId="13" type="noConversion"/>
  </si>
  <si>
    <t xml:space="preserve">obt z = </t>
    <phoneticPr fontId="13" type="noConversion"/>
  </si>
  <si>
    <t xml:space="preserve">crit z = </t>
    <phoneticPr fontId="13" type="noConversion"/>
  </si>
  <si>
    <t xml:space="preserve">upper z = </t>
    <phoneticPr fontId="13" type="noConversion"/>
  </si>
  <si>
    <t xml:space="preserve">lower z = </t>
    <phoneticPr fontId="13" type="noConversion"/>
  </si>
  <si>
    <t>Upper, lower CI magnitudes</t>
    <phoneticPr fontId="13" type="noConversion"/>
  </si>
  <si>
    <t xml:space="preserve">upper r = </t>
    <phoneticPr fontId="13" type="noConversion"/>
  </si>
  <si>
    <t xml:space="preserve">Obtained r = </t>
    <phoneticPr fontId="13" type="noConversion"/>
  </si>
  <si>
    <t xml:space="preserve">lower r = 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</si>
</sst>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"/>
    <numFmt numFmtId="166" formatCode="#,##0.0000"/>
    <numFmt numFmtId="167" formatCode="#,##0.000000"/>
    <numFmt numFmtId="170" formatCode="0.000"/>
  </numFmts>
  <fonts count="27" x14ac:knownFonts="1"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sz val="10"/>
      <name val="Symbol"/>
    </font>
    <font>
      <sz val="11"/>
      <name val="Verdana"/>
    </font>
    <font>
      <b/>
      <sz val="11"/>
      <name val="Verdana"/>
    </font>
    <font>
      <sz val="10"/>
      <color indexed="9"/>
      <name val="Verdana"/>
    </font>
    <font>
      <sz val="11"/>
      <color indexed="9"/>
      <name val="Symbol"/>
    </font>
    <font>
      <sz val="11"/>
      <color indexed="9"/>
      <name val="Verdana"/>
    </font>
    <font>
      <vertAlign val="subscript"/>
      <sz val="10"/>
      <color indexed="9"/>
      <name val="Verdana"/>
    </font>
    <font>
      <b/>
      <sz val="10"/>
      <color indexed="9"/>
      <name val="Verdana"/>
    </font>
    <font>
      <vertAlign val="superscript"/>
      <sz val="10"/>
      <color indexed="9"/>
      <name val="Verdana"/>
    </font>
    <font>
      <sz val="10"/>
      <color indexed="9"/>
      <name val="Symbol"/>
    </font>
    <font>
      <sz val="10"/>
      <color indexed="9"/>
      <name val="Times"/>
    </font>
    <font>
      <u/>
      <sz val="10"/>
      <color indexed="9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vertAlign val="subscript"/>
      <sz val="10"/>
      <name val="Verdana"/>
    </font>
    <font>
      <vertAlign val="superscript"/>
      <sz val="10"/>
      <name val="Verdana"/>
    </font>
    <font>
      <sz val="11"/>
      <name val="Symbol"/>
    </font>
    <font>
      <u/>
      <sz val="10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9"/>
      </right>
      <top style="thin">
        <color indexed="9"/>
      </top>
      <bottom style="medium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/>
      <bottom style="thin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0">
    <xf numFmtId="164" fontId="0" fillId="0" borderId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1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</cellStyleXfs>
  <cellXfs count="321">
    <xf numFmtId="164" fontId="0" fillId="0" borderId="0" xfId="0">
      <alignment vertical="center"/>
    </xf>
    <xf numFmtId="3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horizontal="left" vertical="center"/>
    </xf>
    <xf numFmtId="3" fontId="12" fillId="2" borderId="0" xfId="0" applyNumberFormat="1" applyFont="1" applyFill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Border="1">
      <alignment vertical="center"/>
    </xf>
    <xf numFmtId="3" fontId="12" fillId="3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horizontal="left" vertical="center"/>
    </xf>
    <xf numFmtId="3" fontId="12" fillId="2" borderId="0" xfId="0" applyNumberFormat="1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>
      <alignment vertical="center"/>
    </xf>
    <xf numFmtId="3" fontId="0" fillId="0" borderId="0" xfId="0" applyNumberFormat="1" applyFill="1" applyBorder="1" applyAlignment="1">
      <alignment horizontal="left" vertical="center"/>
    </xf>
    <xf numFmtId="3" fontId="0" fillId="0" borderId="0" xfId="0" applyNumberFormat="1" applyFill="1" applyBorder="1" applyAlignment="1">
      <alignment vertical="center"/>
    </xf>
    <xf numFmtId="164" fontId="11" fillId="0" borderId="0" xfId="0" applyNumberFormat="1" applyFont="1" applyFill="1" applyBorder="1">
      <alignment vertical="center"/>
    </xf>
    <xf numFmtId="164" fontId="14" fillId="4" borderId="0" xfId="0" applyNumberFormat="1" applyFont="1" applyFill="1" applyAlignment="1">
      <alignment horizontal="right" vertical="center"/>
    </xf>
    <xf numFmtId="164" fontId="12" fillId="4" borderId="0" xfId="0" applyNumberFormat="1" applyFont="1" applyFill="1" applyAlignment="1">
      <alignment horizontal="right" vertical="center"/>
    </xf>
    <xf numFmtId="164" fontId="0" fillId="4" borderId="0" xfId="0" applyNumberFormat="1" applyFill="1">
      <alignment vertical="center"/>
    </xf>
    <xf numFmtId="164" fontId="0" fillId="4" borderId="0" xfId="0" applyNumberFormat="1" applyFill="1" applyBorder="1">
      <alignment vertical="center"/>
    </xf>
    <xf numFmtId="164" fontId="0" fillId="0" borderId="0" xfId="0" applyNumberFormat="1" applyFill="1" applyBorder="1">
      <alignment vertical="center"/>
    </xf>
    <xf numFmtId="164" fontId="2" fillId="0" borderId="0" xfId="0" applyNumberFormat="1" applyFont="1" applyFill="1" applyBorder="1">
      <alignment vertical="center"/>
    </xf>
    <xf numFmtId="164" fontId="12" fillId="4" borderId="0" xfId="0" applyNumberFormat="1" applyFont="1" applyFill="1">
      <alignment vertical="center"/>
    </xf>
    <xf numFmtId="164" fontId="12" fillId="4" borderId="0" xfId="0" applyNumberFormat="1" applyFont="1" applyFill="1" applyBorder="1">
      <alignment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18" fillId="4" borderId="0" xfId="0" applyNumberFormat="1" applyFont="1" applyFill="1" applyBorder="1" applyAlignment="1">
      <alignment horizontal="right" vertical="center"/>
    </xf>
    <xf numFmtId="4" fontId="12" fillId="4" borderId="0" xfId="0" applyNumberFormat="1" applyFont="1" applyFill="1" applyBorder="1" applyAlignment="1">
      <alignment horizontal="left" vertical="center"/>
    </xf>
    <xf numFmtId="9" fontId="12" fillId="4" borderId="0" xfId="3" applyFont="1" applyFill="1" applyBorder="1" applyAlignment="1">
      <alignment horizontal="left" vertical="center"/>
    </xf>
    <xf numFmtId="164" fontId="18" fillId="3" borderId="0" xfId="0" applyNumberFormat="1" applyFont="1" applyFill="1" applyBorder="1" applyAlignment="1">
      <alignment horizontal="right" vertical="center"/>
    </xf>
    <xf numFmtId="165" fontId="12" fillId="3" borderId="0" xfId="0" applyNumberFormat="1" applyFont="1" applyFill="1" applyBorder="1" applyAlignment="1">
      <alignment horizontal="left" vertical="center"/>
    </xf>
    <xf numFmtId="164" fontId="12" fillId="3" borderId="0" xfId="0" applyNumberFormat="1" applyFont="1" applyFill="1" applyBorder="1">
      <alignment vertical="center"/>
    </xf>
    <xf numFmtId="164" fontId="12" fillId="3" borderId="0" xfId="0" applyNumberFormat="1" applyFont="1" applyFill="1" applyBorder="1" applyAlignment="1">
      <alignment vertical="center"/>
    </xf>
    <xf numFmtId="164" fontId="12" fillId="3" borderId="2" xfId="0" applyNumberFormat="1" applyFont="1" applyFill="1" applyBorder="1" applyAlignment="1">
      <alignment horizontal="right" vertical="center"/>
    </xf>
    <xf numFmtId="164" fontId="12" fillId="3" borderId="2" xfId="0" applyNumberFormat="1" applyFont="1" applyFill="1" applyBorder="1" applyAlignment="1">
      <alignment horizontal="left" vertical="center"/>
    </xf>
    <xf numFmtId="165" fontId="18" fillId="3" borderId="2" xfId="0" applyNumberFormat="1" applyFont="1" applyFill="1" applyBorder="1" applyAlignment="1">
      <alignment horizontal="right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9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>
      <alignment vertical="center"/>
    </xf>
    <xf numFmtId="164" fontId="12" fillId="3" borderId="0" xfId="0" applyNumberFormat="1" applyFont="1" applyFill="1" applyBorder="1" applyAlignment="1">
      <alignment horizontal="right" vertical="center"/>
    </xf>
    <xf numFmtId="3" fontId="12" fillId="3" borderId="2" xfId="0" applyNumberFormat="1" applyFont="1" applyFill="1" applyBorder="1">
      <alignment vertical="center"/>
    </xf>
    <xf numFmtId="164" fontId="14" fillId="2" borderId="0" xfId="0" applyNumberFormat="1" applyFont="1" applyFill="1">
      <alignment vertical="center"/>
    </xf>
    <xf numFmtId="164" fontId="12" fillId="2" borderId="0" xfId="0" applyNumberFormat="1" applyFont="1" applyFill="1">
      <alignment vertical="center"/>
    </xf>
    <xf numFmtId="164" fontId="12" fillId="2" borderId="0" xfId="0" applyNumberFormat="1" applyFont="1" applyFill="1" applyBorder="1">
      <alignment vertical="center"/>
    </xf>
    <xf numFmtId="164" fontId="12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right" vertical="center"/>
    </xf>
    <xf numFmtId="164" fontId="12" fillId="2" borderId="0" xfId="0" applyNumberFormat="1" applyFont="1" applyFill="1" applyAlignment="1">
      <alignment horizontal="left" vertical="center"/>
    </xf>
    <xf numFmtId="164" fontId="12" fillId="2" borderId="0" xfId="0" quotePrefix="1" applyNumberFormat="1" applyFont="1" applyFill="1">
      <alignment vertical="center"/>
    </xf>
    <xf numFmtId="164" fontId="14" fillId="2" borderId="2" xfId="0" applyNumberFormat="1" applyFont="1" applyFill="1" applyBorder="1">
      <alignment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>
      <alignment vertical="center"/>
    </xf>
    <xf numFmtId="164" fontId="12" fillId="2" borderId="0" xfId="0" applyNumberFormat="1" applyFont="1" applyFill="1" applyBorder="1" applyAlignment="1">
      <alignment horizontal="left" vertical="center"/>
    </xf>
    <xf numFmtId="164" fontId="12" fillId="2" borderId="0" xfId="0" quotePrefix="1" applyNumberFormat="1" applyFont="1" applyFill="1" applyBorder="1">
      <alignment vertical="center"/>
    </xf>
    <xf numFmtId="164" fontId="18" fillId="2" borderId="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>
      <alignment vertical="center"/>
    </xf>
    <xf numFmtId="165" fontId="12" fillId="2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>
      <alignment vertical="center"/>
    </xf>
    <xf numFmtId="164" fontId="16" fillId="4" borderId="0" xfId="0" applyNumberFormat="1" applyFont="1" applyFill="1" applyBorder="1" applyAlignment="1">
      <alignment horizontal="left" vertical="center"/>
    </xf>
    <xf numFmtId="164" fontId="16" fillId="4" borderId="0" xfId="0" applyNumberFormat="1" applyFont="1" applyFill="1" applyBorder="1" applyAlignment="1">
      <alignment horizontal="right" vertical="center"/>
    </xf>
    <xf numFmtId="164" fontId="16" fillId="4" borderId="0" xfId="0" applyNumberFormat="1" applyFont="1" applyFill="1" applyBorder="1">
      <alignment vertical="center"/>
    </xf>
    <xf numFmtId="164" fontId="12" fillId="3" borderId="9" xfId="0" applyNumberFormat="1" applyFont="1" applyFill="1" applyBorder="1" applyAlignment="1">
      <alignment horizontal="left" vertical="center"/>
    </xf>
    <xf numFmtId="165" fontId="12" fillId="3" borderId="10" xfId="0" applyNumberFormat="1" applyFont="1" applyFill="1" applyBorder="1" applyAlignment="1">
      <alignment horizontal="right" vertical="center"/>
    </xf>
    <xf numFmtId="4" fontId="12" fillId="2" borderId="0" xfId="0" applyNumberFormat="1" applyFont="1" applyFill="1" applyBorder="1">
      <alignment vertical="center"/>
    </xf>
    <xf numFmtId="164" fontId="20" fillId="2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/>
    </xf>
    <xf numFmtId="4" fontId="12" fillId="3" borderId="0" xfId="0" applyNumberFormat="1" applyFont="1" applyFill="1" applyBorder="1" applyAlignment="1">
      <alignment horizontal="left" vertical="center"/>
    </xf>
    <xf numFmtId="164" fontId="0" fillId="3" borderId="0" xfId="0" applyNumberFormat="1" applyFill="1">
      <alignment vertical="center"/>
    </xf>
    <xf numFmtId="164" fontId="0" fillId="3" borderId="0" xfId="0" applyNumberFormat="1" applyFill="1" applyBorder="1">
      <alignment vertical="center"/>
    </xf>
    <xf numFmtId="164" fontId="18" fillId="3" borderId="9" xfId="0" applyNumberFormat="1" applyFont="1" applyFill="1" applyBorder="1" applyAlignment="1">
      <alignment horizontal="right" vertical="center"/>
    </xf>
    <xf numFmtId="3" fontId="12" fillId="3" borderId="2" xfId="0" applyNumberFormat="1" applyFont="1" applyFill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right" vertical="center"/>
    </xf>
    <xf numFmtId="165" fontId="12" fillId="3" borderId="10" xfId="0" applyNumberFormat="1" applyFont="1" applyFill="1" applyBorder="1" applyAlignment="1">
      <alignment horizontal="left" vertical="center"/>
    </xf>
    <xf numFmtId="165" fontId="12" fillId="3" borderId="0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vertical="center"/>
    </xf>
    <xf numFmtId="164" fontId="12" fillId="3" borderId="5" xfId="0" applyNumberFormat="1" applyFont="1" applyFill="1" applyBorder="1" applyAlignment="1">
      <alignment vertical="center"/>
    </xf>
    <xf numFmtId="164" fontId="0" fillId="0" borderId="6" xfId="0" applyNumberFormat="1" applyFill="1" applyBorder="1">
      <alignment vertical="center"/>
    </xf>
    <xf numFmtId="165" fontId="12" fillId="3" borderId="1" xfId="0" applyNumberFormat="1" applyFont="1" applyFill="1" applyBorder="1" applyAlignment="1">
      <alignment horizontal="left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3" borderId="3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right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right" vertical="center"/>
    </xf>
    <xf numFmtId="4" fontId="12" fillId="2" borderId="0" xfId="0" applyNumberFormat="1" applyFont="1" applyFill="1">
      <alignment vertical="center"/>
    </xf>
    <xf numFmtId="4" fontId="12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left" vertical="center"/>
    </xf>
    <xf numFmtId="164" fontId="20" fillId="2" borderId="0" xfId="0" applyNumberFormat="1" applyFont="1" applyFill="1" applyBorder="1" applyAlignment="1">
      <alignment vertical="center"/>
    </xf>
    <xf numFmtId="164" fontId="0" fillId="2" borderId="0" xfId="0" applyNumberFormat="1" applyFill="1" applyBorder="1">
      <alignment vertical="center"/>
    </xf>
    <xf numFmtId="164" fontId="20" fillId="2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>
      <alignment vertical="center"/>
    </xf>
    <xf numFmtId="9" fontId="0" fillId="0" borderId="0" xfId="3" applyFont="1" applyFill="1" applyBorder="1" applyAlignment="1">
      <alignment horizontal="left" vertical="center"/>
    </xf>
    <xf numFmtId="164" fontId="12" fillId="3" borderId="9" xfId="0" applyNumberFormat="1" applyFont="1" applyFill="1" applyBorder="1" applyAlignment="1">
      <alignment horizontal="right" vertical="center"/>
    </xf>
    <xf numFmtId="3" fontId="12" fillId="3" borderId="10" xfId="0" applyNumberFormat="1" applyFont="1" applyFill="1" applyBorder="1" applyAlignment="1">
      <alignment horizontal="right" vertical="center"/>
    </xf>
    <xf numFmtId="164" fontId="0" fillId="0" borderId="0" xfId="0" quotePrefix="1" applyNumberFormat="1" applyFill="1" applyBorder="1">
      <alignment vertical="center"/>
    </xf>
    <xf numFmtId="165" fontId="18" fillId="3" borderId="0" xfId="0" applyNumberFormat="1" applyFont="1" applyFill="1" applyBorder="1" applyAlignment="1">
      <alignment horizontal="right" vertical="center"/>
    </xf>
    <xf numFmtId="165" fontId="12" fillId="3" borderId="0" xfId="0" applyNumberFormat="1" applyFont="1" applyFill="1" applyAlignment="1">
      <alignment horizontal="left" vertical="center"/>
    </xf>
    <xf numFmtId="165" fontId="12" fillId="3" borderId="2" xfId="0" applyNumberFormat="1" applyFont="1" applyFill="1" applyBorder="1" applyAlignment="1">
      <alignment horizontal="left" vertical="center"/>
    </xf>
    <xf numFmtId="3" fontId="12" fillId="4" borderId="2" xfId="0" applyNumberFormat="1" applyFont="1" applyFill="1" applyBorder="1" applyAlignment="1">
      <alignment horizontal="center" vertical="center"/>
    </xf>
    <xf numFmtId="3" fontId="12" fillId="4" borderId="9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/>
    </xf>
    <xf numFmtId="164" fontId="0" fillId="0" borderId="0" xfId="0" applyNumberForma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0" fillId="0" borderId="0" xfId="0" quotePrefix="1" applyNumberFormat="1" applyFill="1" applyBorder="1" applyAlignment="1">
      <alignment vertical="center"/>
    </xf>
    <xf numFmtId="164" fontId="0" fillId="0" borderId="0" xfId="0" quotePrefix="1" applyNumberForma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left" vertical="center"/>
    </xf>
    <xf numFmtId="4" fontId="0" fillId="0" borderId="0" xfId="0" applyNumberForma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164" fontId="18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left" vertical="center"/>
    </xf>
    <xf numFmtId="165" fontId="0" fillId="0" borderId="0" xfId="0" applyNumberFormat="1" applyFill="1" applyBorder="1" applyAlignment="1">
      <alignment horizontal="right" vertical="center"/>
    </xf>
    <xf numFmtId="165" fontId="0" fillId="0" borderId="0" xfId="0" applyNumberFormat="1" applyFill="1" applyBorder="1">
      <alignment vertical="center"/>
    </xf>
    <xf numFmtId="164" fontId="12" fillId="3" borderId="0" xfId="0" applyFont="1" applyFill="1" applyBorder="1" applyAlignment="1">
      <alignment horizontal="center" vertical="center"/>
    </xf>
    <xf numFmtId="164" fontId="18" fillId="3" borderId="0" xfId="0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" fillId="0" borderId="0" xfId="0" applyFont="1" applyFill="1" applyBorder="1">
      <alignment vertical="center"/>
    </xf>
    <xf numFmtId="165" fontId="12" fillId="3" borderId="9" xfId="0" applyNumberFormat="1" applyFont="1" applyFill="1" applyBorder="1" applyAlignment="1">
      <alignment horizontal="right" vertical="center"/>
    </xf>
    <xf numFmtId="164" fontId="12" fillId="5" borderId="0" xfId="0" applyNumberFormat="1" applyFont="1" applyFill="1" applyBorder="1" applyAlignment="1">
      <alignment vertical="center"/>
    </xf>
    <xf numFmtId="164" fontId="0" fillId="5" borderId="0" xfId="0" applyNumberFormat="1" applyFill="1" applyBorder="1">
      <alignment vertical="center"/>
    </xf>
    <xf numFmtId="164" fontId="12" fillId="5" borderId="2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>
      <alignment vertical="center"/>
    </xf>
    <xf numFmtId="165" fontId="12" fillId="5" borderId="2" xfId="0" applyNumberFormat="1" applyFont="1" applyFill="1" applyBorder="1" applyAlignment="1">
      <alignment horizontal="center" vertical="center"/>
    </xf>
    <xf numFmtId="164" fontId="12" fillId="5" borderId="0" xfId="0" quotePrefix="1" applyNumberFormat="1" applyFont="1" applyFill="1" applyBorder="1">
      <alignment vertical="center"/>
    </xf>
    <xf numFmtId="164" fontId="12" fillId="5" borderId="0" xfId="0" applyNumberFormat="1" applyFont="1" applyFill="1" applyBorder="1" applyAlignment="1">
      <alignment horizontal="center" vertical="center"/>
    </xf>
    <xf numFmtId="3" fontId="12" fillId="5" borderId="0" xfId="0" applyNumberFormat="1" applyFont="1" applyFill="1" applyBorder="1">
      <alignment vertical="center"/>
    </xf>
    <xf numFmtId="164" fontId="12" fillId="5" borderId="0" xfId="0" applyNumberFormat="1" applyFont="1" applyFill="1" applyBorder="1" applyAlignment="1">
      <alignment horizontal="right" vertical="center"/>
    </xf>
    <xf numFmtId="165" fontId="18" fillId="5" borderId="0" xfId="0" applyNumberFormat="1" applyFont="1" applyFill="1" applyBorder="1" applyAlignment="1">
      <alignment horizontal="right" vertical="center"/>
    </xf>
    <xf numFmtId="165" fontId="12" fillId="5" borderId="0" xfId="0" applyNumberFormat="1" applyFont="1" applyFill="1" applyAlignment="1">
      <alignment horizontal="center" vertical="center"/>
    </xf>
    <xf numFmtId="165" fontId="12" fillId="5" borderId="8" xfId="0" applyNumberFormat="1" applyFont="1" applyFill="1" applyBorder="1" applyAlignment="1">
      <alignment horizontal="center" vertical="center"/>
    </xf>
    <xf numFmtId="165" fontId="12" fillId="5" borderId="10" xfId="0" applyNumberFormat="1" applyFont="1" applyFill="1" applyBorder="1" applyAlignment="1">
      <alignment horizontal="center" vertical="center"/>
    </xf>
    <xf numFmtId="164" fontId="13" fillId="5" borderId="0" xfId="0" applyFont="1" applyFill="1" applyBorder="1" applyAlignment="1">
      <alignment horizontal="right" vertical="center"/>
    </xf>
    <xf numFmtId="3" fontId="12" fillId="5" borderId="0" xfId="0" applyNumberFormat="1" applyFont="1" applyFill="1" applyBorder="1" applyAlignment="1">
      <alignment horizontal="left" vertical="center"/>
    </xf>
    <xf numFmtId="164" fontId="12" fillId="5" borderId="2" xfId="0" applyFont="1" applyFill="1" applyBorder="1" applyAlignment="1">
      <alignment vertical="center"/>
    </xf>
    <xf numFmtId="165" fontId="12" fillId="5" borderId="9" xfId="0" applyNumberFormat="1" applyFont="1" applyFill="1" applyBorder="1" applyAlignment="1">
      <alignment horizontal="center" vertical="center"/>
    </xf>
    <xf numFmtId="164" fontId="12" fillId="5" borderId="10" xfId="0" applyNumberFormat="1" applyFont="1" applyFill="1" applyBorder="1" applyAlignment="1">
      <alignment horizontal="right" vertical="center"/>
    </xf>
    <xf numFmtId="165" fontId="19" fillId="5" borderId="0" xfId="0" applyNumberFormat="1" applyFont="1" applyFill="1" applyBorder="1" applyAlignment="1">
      <alignment horizontal="right" vertical="center"/>
    </xf>
    <xf numFmtId="164" fontId="12" fillId="5" borderId="10" xfId="0" applyNumberFormat="1" applyFont="1" applyFill="1" applyBorder="1" applyAlignment="1">
      <alignment vertical="center"/>
    </xf>
    <xf numFmtId="164" fontId="13" fillId="5" borderId="0" xfId="0" applyNumberFormat="1" applyFont="1" applyFill="1" applyBorder="1" applyAlignment="1">
      <alignment horizontal="right" vertical="center"/>
    </xf>
    <xf numFmtId="3" fontId="12" fillId="5" borderId="0" xfId="0" applyNumberFormat="1" applyFont="1" applyFill="1" applyBorder="1" applyAlignment="1">
      <alignment horizontal="center" vertical="center"/>
    </xf>
    <xf numFmtId="3" fontId="12" fillId="5" borderId="10" xfId="0" applyNumberFormat="1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vertical="center"/>
    </xf>
    <xf numFmtId="3" fontId="12" fillId="5" borderId="2" xfId="0" applyNumberFormat="1" applyFont="1" applyFill="1" applyBorder="1" applyAlignment="1">
      <alignment horizontal="center" vertical="center"/>
    </xf>
    <xf numFmtId="3" fontId="12" fillId="5" borderId="9" xfId="0" applyNumberFormat="1" applyFont="1" applyFill="1" applyBorder="1" applyAlignment="1">
      <alignment horizontal="center" vertical="center"/>
    </xf>
    <xf numFmtId="3" fontId="12" fillId="5" borderId="18" xfId="0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center" vertical="center"/>
    </xf>
    <xf numFmtId="3" fontId="12" fillId="5" borderId="19" xfId="0" applyNumberFormat="1" applyFont="1" applyFill="1" applyBorder="1" applyAlignment="1">
      <alignment horizontal="center" vertical="center"/>
    </xf>
    <xf numFmtId="3" fontId="12" fillId="5" borderId="20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2" fillId="5" borderId="21" xfId="0" applyNumberFormat="1" applyFont="1" applyFill="1" applyBorder="1" applyAlignment="1">
      <alignment horizontal="center" vertical="center"/>
    </xf>
    <xf numFmtId="3" fontId="12" fillId="5" borderId="3" xfId="0" applyNumberFormat="1" applyFont="1" applyFill="1" applyBorder="1" applyAlignment="1">
      <alignment horizontal="center" vertical="center"/>
    </xf>
    <xf numFmtId="165" fontId="12" fillId="5" borderId="13" xfId="0" applyNumberFormat="1" applyFont="1" applyFill="1" applyBorder="1" applyAlignment="1">
      <alignment horizontal="center" vertical="center"/>
    </xf>
    <xf numFmtId="4" fontId="12" fillId="5" borderId="13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164" fontId="12" fillId="5" borderId="12" xfId="0" applyNumberFormat="1" applyFont="1" applyFill="1" applyBorder="1" applyAlignment="1">
      <alignment horizontal="right" vertical="center"/>
    </xf>
    <xf numFmtId="164" fontId="12" fillId="5" borderId="14" xfId="0" applyNumberFormat="1" applyFont="1" applyFill="1" applyBorder="1" applyAlignment="1">
      <alignment horizontal="right" vertical="center"/>
    </xf>
    <xf numFmtId="165" fontId="12" fillId="5" borderId="1" xfId="0" applyNumberFormat="1" applyFont="1" applyFill="1" applyBorder="1" applyAlignment="1">
      <alignment horizontal="right" vertical="center"/>
    </xf>
    <xf numFmtId="3" fontId="12" fillId="5" borderId="22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15" xfId="0" applyNumberFormat="1" applyFont="1" applyFill="1" applyBorder="1" applyAlignment="1">
      <alignment horizontal="center" vertical="center"/>
    </xf>
    <xf numFmtId="3" fontId="12" fillId="5" borderId="7" xfId="0" applyNumberFormat="1" applyFont="1" applyFill="1" applyBorder="1" applyAlignment="1">
      <alignment horizontal="center" vertical="center"/>
    </xf>
    <xf numFmtId="165" fontId="18" fillId="5" borderId="10" xfId="0" applyNumberFormat="1" applyFont="1" applyFill="1" applyBorder="1" applyAlignment="1">
      <alignment horizontal="right" vertical="center"/>
    </xf>
    <xf numFmtId="3" fontId="12" fillId="5" borderId="0" xfId="0" applyNumberFormat="1" applyFont="1" applyFill="1" applyAlignment="1">
      <alignment horizontal="center" vertical="center"/>
    </xf>
    <xf numFmtId="3" fontId="12" fillId="5" borderId="8" xfId="0" applyNumberFormat="1" applyFont="1" applyFill="1" applyBorder="1" applyAlignment="1">
      <alignment horizontal="center" vertical="center"/>
    </xf>
    <xf numFmtId="4" fontId="12" fillId="5" borderId="0" xfId="0" applyNumberFormat="1" applyFont="1" applyFill="1" applyBorder="1" applyAlignment="1">
      <alignment horizontal="center" vertical="center"/>
    </xf>
    <xf numFmtId="4" fontId="12" fillId="5" borderId="10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4" fontId="12" fillId="5" borderId="0" xfId="0" applyNumberFormat="1" applyFont="1" applyFill="1" applyBorder="1" applyAlignment="1">
      <alignment horizontal="right" vertical="center"/>
    </xf>
    <xf numFmtId="164" fontId="12" fillId="5" borderId="10" xfId="0" applyNumberFormat="1" applyFont="1" applyFill="1" applyBorder="1" applyAlignment="1">
      <alignment horizontal="center" vertical="center"/>
    </xf>
    <xf numFmtId="164" fontId="12" fillId="5" borderId="16" xfId="0" applyNumberFormat="1" applyFont="1" applyFill="1" applyBorder="1" applyAlignment="1">
      <alignment horizontal="center" vertical="center"/>
    </xf>
    <xf numFmtId="4" fontId="12" fillId="5" borderId="4" xfId="0" applyNumberFormat="1" applyFont="1" applyFill="1" applyBorder="1" applyAlignment="1">
      <alignment horizontal="right" vertical="center"/>
    </xf>
    <xf numFmtId="164" fontId="12" fillId="5" borderId="7" xfId="0" applyNumberFormat="1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right" vertical="center"/>
    </xf>
    <xf numFmtId="165" fontId="12" fillId="5" borderId="15" xfId="0" applyNumberFormat="1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right" vertical="center"/>
    </xf>
    <xf numFmtId="164" fontId="12" fillId="5" borderId="9" xfId="0" applyNumberFormat="1" applyFont="1" applyFill="1" applyBorder="1" applyAlignment="1">
      <alignment horizontal="right" vertical="center"/>
    </xf>
    <xf numFmtId="164" fontId="2" fillId="6" borderId="23" xfId="0" applyNumberFormat="1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2" fillId="6" borderId="27" xfId="0" applyNumberFormat="1" applyFont="1" applyFill="1" applyBorder="1" applyAlignment="1">
      <alignment vertical="center"/>
    </xf>
    <xf numFmtId="164" fontId="2" fillId="6" borderId="0" xfId="0" applyNumberFormat="1" applyFont="1" applyFill="1" applyBorder="1" applyAlignment="1"/>
    <xf numFmtId="164" fontId="1" fillId="6" borderId="0" xfId="0" applyNumberFormat="1" applyFont="1" applyFill="1" applyBorder="1" applyAlignment="1"/>
    <xf numFmtId="164" fontId="1" fillId="6" borderId="0" xfId="0" applyNumberFormat="1" applyFont="1" applyFill="1" applyBorder="1" applyAlignment="1">
      <alignment vertical="center"/>
    </xf>
    <xf numFmtId="164" fontId="1" fillId="6" borderId="28" xfId="0" applyNumberFormat="1" applyFont="1" applyFill="1" applyBorder="1" applyAlignment="1">
      <alignment vertical="center"/>
    </xf>
    <xf numFmtId="164" fontId="1" fillId="6" borderId="0" xfId="0" applyNumberFormat="1" applyFont="1" applyFill="1" applyBorder="1" applyAlignment="1">
      <alignment horizontal="left"/>
    </xf>
    <xf numFmtId="164" fontId="1" fillId="6" borderId="29" xfId="0" applyNumberFormat="1" applyFont="1" applyFill="1" applyBorder="1" applyAlignment="1"/>
    <xf numFmtId="164" fontId="1" fillId="6" borderId="29" xfId="0" applyNumberFormat="1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164" fontId="2" fillId="6" borderId="31" xfId="0" applyNumberFormat="1" applyFont="1" applyFill="1" applyBorder="1" applyAlignment="1">
      <alignment vertical="center"/>
    </xf>
    <xf numFmtId="164" fontId="1" fillId="6" borderId="32" xfId="0" applyNumberFormat="1" applyFont="1" applyFill="1" applyBorder="1" applyAlignment="1"/>
    <xf numFmtId="164" fontId="1" fillId="6" borderId="32" xfId="0" applyNumberFormat="1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164" fontId="11" fillId="0" borderId="0" xfId="0" quotePrefix="1" applyNumberFormat="1" applyFont="1" applyFill="1" applyBorder="1" applyAlignment="1">
      <alignment vertical="center"/>
    </xf>
    <xf numFmtId="164" fontId="12" fillId="3" borderId="0" xfId="0" applyNumberFormat="1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164" fontId="12" fillId="7" borderId="0" xfId="0" applyNumberFormat="1" applyFont="1" applyFill="1" applyBorder="1" applyAlignment="1">
      <alignment vertical="center"/>
    </xf>
    <xf numFmtId="3" fontId="12" fillId="7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4" fontId="12" fillId="7" borderId="2" xfId="0" applyNumberFormat="1" applyFont="1" applyFill="1" applyBorder="1" applyAlignment="1">
      <alignment horizontal="right" vertical="center"/>
    </xf>
    <xf numFmtId="164" fontId="12" fillId="7" borderId="2" xfId="0" applyNumberFormat="1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3" fontId="12" fillId="7" borderId="0" xfId="0" applyNumberFormat="1" applyFont="1" applyFill="1" applyBorder="1" applyAlignment="1">
      <alignment vertical="center"/>
    </xf>
    <xf numFmtId="164" fontId="12" fillId="7" borderId="0" xfId="0" applyFont="1" applyFill="1" applyBorder="1" applyAlignment="1">
      <alignment horizontal="center" vertical="center"/>
    </xf>
    <xf numFmtId="164" fontId="12" fillId="7" borderId="0" xfId="0" applyNumberFormat="1" applyFont="1" applyFill="1" applyBorder="1" applyAlignment="1">
      <alignment horizontal="center" vertical="center"/>
    </xf>
    <xf numFmtId="164" fontId="1" fillId="0" borderId="0" xfId="0" quotePrefix="1" applyNumberFormat="1" applyFont="1" applyFill="1" applyBorder="1" applyAlignment="1">
      <alignment vertical="center"/>
    </xf>
    <xf numFmtId="164" fontId="12" fillId="7" borderId="0" xfId="0" applyNumberFormat="1" applyFont="1" applyFill="1" applyBorder="1" applyAlignment="1">
      <alignment horizontal="left" vertical="center"/>
    </xf>
    <xf numFmtId="164" fontId="12" fillId="7" borderId="0" xfId="0" quotePrefix="1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7" fontId="12" fillId="2" borderId="0" xfId="0" applyNumberFormat="1" applyFont="1" applyFill="1" applyBorder="1" applyAlignment="1">
      <alignment horizontal="left" vertical="center"/>
    </xf>
    <xf numFmtId="164" fontId="12" fillId="2" borderId="0" xfId="0" quotePrefix="1" applyNumberFormat="1" applyFont="1" applyFill="1" applyBorder="1" applyAlignment="1">
      <alignment horizontal="center" vertical="center"/>
    </xf>
    <xf numFmtId="9" fontId="12" fillId="2" borderId="2" xfId="3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left" vertical="center"/>
    </xf>
    <xf numFmtId="164" fontId="18" fillId="3" borderId="0" xfId="0" applyNumberFormat="1" applyFont="1" applyFill="1" applyAlignment="1">
      <alignment horizontal="right" vertical="center"/>
    </xf>
    <xf numFmtId="3" fontId="12" fillId="3" borderId="0" xfId="0" applyNumberFormat="1" applyFont="1" applyFill="1" applyAlignment="1">
      <alignment horizontal="left" vertical="center"/>
    </xf>
    <xf numFmtId="3" fontId="18" fillId="3" borderId="0" xfId="0" applyNumberFormat="1" applyFont="1" applyFill="1" applyAlignment="1">
      <alignment horizontal="right" vertical="center"/>
    </xf>
    <xf numFmtId="165" fontId="12" fillId="7" borderId="0" xfId="0" applyNumberFormat="1" applyFont="1" applyFill="1" applyBorder="1" applyAlignment="1">
      <alignment horizontal="center" vertical="center"/>
    </xf>
    <xf numFmtId="165" fontId="14" fillId="7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center"/>
    </xf>
    <xf numFmtId="9" fontId="12" fillId="2" borderId="0" xfId="3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horizontal="left" vertical="center"/>
    </xf>
    <xf numFmtId="164" fontId="16" fillId="2" borderId="0" xfId="0" applyNumberFormat="1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12" fillId="2" borderId="2" xfId="0" applyNumberFormat="1" applyFont="1" applyFill="1" applyBorder="1" applyAlignment="1">
      <alignment vertical="center"/>
    </xf>
    <xf numFmtId="164" fontId="14" fillId="2" borderId="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horizontal="center" vertical="center"/>
    </xf>
    <xf numFmtId="9" fontId="1" fillId="0" borderId="0" xfId="3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horizontal="right" vertical="center"/>
    </xf>
    <xf numFmtId="164" fontId="2" fillId="0" borderId="0" xfId="0" applyFont="1" applyFill="1" applyBorder="1" applyAlignment="1">
      <alignment horizontal="right" vertical="center"/>
    </xf>
    <xf numFmtId="164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164" fontId="26" fillId="0" borderId="0" xfId="0" applyNumberFormat="1" applyFont="1" applyFill="1" applyBorder="1" applyAlignment="1">
      <alignment horizontal="left" vertical="center"/>
    </xf>
    <xf numFmtId="164" fontId="26" fillId="0" borderId="0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quotePrefix="1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vertical="center"/>
    </xf>
    <xf numFmtId="3" fontId="12" fillId="7" borderId="2" xfId="0" applyNumberFormat="1" applyFont="1" applyFill="1" applyBorder="1" applyAlignment="1">
      <alignment horizontal="center" vertical="center"/>
    </xf>
    <xf numFmtId="164" fontId="12" fillId="7" borderId="2" xfId="0" applyFont="1" applyFill="1" applyBorder="1" applyAlignment="1">
      <alignment horizontal="center" vertical="center"/>
    </xf>
    <xf numFmtId="170" fontId="14" fillId="7" borderId="0" xfId="0" applyNumberFormat="1" applyFont="1" applyFill="1" applyBorder="1" applyAlignment="1">
      <alignment horizontal="center" vertical="center"/>
    </xf>
    <xf numFmtId="170" fontId="14" fillId="7" borderId="2" xfId="0" applyNumberFormat="1" applyFont="1" applyFill="1" applyBorder="1" applyAlignment="1">
      <alignment horizontal="center" vertical="center"/>
    </xf>
    <xf numFmtId="3" fontId="12" fillId="8" borderId="0" xfId="0" applyNumberFormat="1" applyFont="1" applyFill="1" applyAlignment="1">
      <alignment horizontal="right" vertical="center"/>
    </xf>
    <xf numFmtId="3" fontId="12" fillId="8" borderId="2" xfId="0" applyNumberFormat="1" applyFont="1" applyFill="1" applyBorder="1" applyAlignment="1">
      <alignment horizontal="right" vertical="center"/>
    </xf>
    <xf numFmtId="165" fontId="14" fillId="7" borderId="2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164" fontId="12" fillId="5" borderId="10" xfId="0" applyNumberFormat="1" applyFont="1" applyFill="1" applyBorder="1" applyAlignment="1">
      <alignment horizontal="center" vertical="center"/>
    </xf>
    <xf numFmtId="164" fontId="12" fillId="5" borderId="16" xfId="0" applyNumberFormat="1" applyFont="1" applyFill="1" applyBorder="1" applyAlignment="1">
      <alignment horizontal="center" vertical="center"/>
    </xf>
    <xf numFmtId="164" fontId="12" fillId="5" borderId="17" xfId="0" applyNumberFormat="1" applyFont="1" applyFill="1" applyBorder="1" applyAlignment="1">
      <alignment horizontal="center" vertical="center"/>
    </xf>
    <xf numFmtId="164" fontId="12" fillId="5" borderId="9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center" vertical="center"/>
    </xf>
    <xf numFmtId="3" fontId="12" fillId="5" borderId="8" xfId="0" applyNumberFormat="1" applyFont="1" applyFill="1" applyBorder="1" applyAlignment="1">
      <alignment horizontal="center" vertical="center"/>
    </xf>
    <xf numFmtId="3" fontId="12" fillId="5" borderId="10" xfId="0" applyNumberFormat="1" applyFont="1" applyFill="1" applyBorder="1" applyAlignment="1">
      <alignment horizontal="center" vertical="center"/>
    </xf>
    <xf numFmtId="3" fontId="12" fillId="5" borderId="9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</cellXfs>
  <cellStyles count="40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814494405305"/>
          <c:y val="0.093993006308994"/>
          <c:w val="0.723411876147061"/>
          <c:h val="0.71454390212093"/>
        </c:manualLayout>
      </c:layout>
      <c:scatterChart>
        <c:scatterStyle val="lineMarker"/>
        <c:varyColors val="0"/>
        <c:ser>
          <c:idx val="0"/>
          <c:order val="0"/>
          <c:tx>
            <c:v>correlation</c:v>
          </c:tx>
          <c:spPr>
            <a:ln w="28575">
              <a:noFill/>
            </a:ln>
          </c:spPr>
          <c:marker>
            <c:symbol val="circle"/>
            <c:size val="5"/>
            <c:spPr>
              <a:ln>
                <a:noFill/>
              </a:ln>
            </c:spPr>
          </c:marker>
          <c:xVal>
            <c:numLit>
              <c:formatCode>General</c:formatCode>
              <c:ptCount val="18"/>
              <c:pt idx="0">
                <c:v>130.0</c:v>
              </c:pt>
              <c:pt idx="1">
                <c:v>120.0</c:v>
              </c:pt>
              <c:pt idx="2">
                <c:v>161.0</c:v>
              </c:pt>
              <c:pt idx="3">
                <c:v>123.0</c:v>
              </c:pt>
              <c:pt idx="4">
                <c:v>136.0</c:v>
              </c:pt>
              <c:pt idx="5">
                <c:v>132.0</c:v>
              </c:pt>
              <c:pt idx="6">
                <c:v>152.0</c:v>
              </c:pt>
              <c:pt idx="7">
                <c:v>102.0</c:v>
              </c:pt>
              <c:pt idx="8">
                <c:v>119.0</c:v>
              </c:pt>
              <c:pt idx="9">
                <c:v>205.0</c:v>
              </c:pt>
              <c:pt idx="10">
                <c:v>214.0</c:v>
              </c:pt>
              <c:pt idx="11">
                <c:v>199.0</c:v>
              </c:pt>
              <c:pt idx="12">
                <c:v>181.0</c:v>
              </c:pt>
              <c:pt idx="13">
                <c:v>214.0</c:v>
              </c:pt>
              <c:pt idx="14">
                <c:v>206.0</c:v>
              </c:pt>
              <c:pt idx="15">
                <c:v>211.0</c:v>
              </c:pt>
              <c:pt idx="16">
                <c:v>244.0</c:v>
              </c:pt>
              <c:pt idx="17">
                <c:v>180.0</c:v>
              </c:pt>
            </c:numLit>
          </c:xVal>
          <c:yVal>
            <c:numLit>
              <c:formatCode>General</c:formatCode>
              <c:ptCount val="18"/>
              <c:pt idx="0">
                <c:v>120.261569351542</c:v>
              </c:pt>
              <c:pt idx="1">
                <c:v>141.7079363465326</c:v>
              </c:pt>
              <c:pt idx="2">
                <c:v>104.4685524137232</c:v>
              </c:pt>
              <c:pt idx="3">
                <c:v>153.0712413806793</c:v>
              </c:pt>
              <c:pt idx="4">
                <c:v>126.4799974570212</c:v>
              </c:pt>
              <c:pt idx="5">
                <c:v>122.3989303960649</c:v>
              </c:pt>
              <c:pt idx="6">
                <c:v>139.3384630458468</c:v>
              </c:pt>
              <c:pt idx="7">
                <c:v>149.6846159666356</c:v>
              </c:pt>
              <c:pt idx="8">
                <c:v>116.7827561226471</c:v>
              </c:pt>
              <c:pt idx="9">
                <c:v>234.9470143738036</c:v>
              </c:pt>
              <c:pt idx="10">
                <c:v>243.8255196437988</c:v>
              </c:pt>
              <c:pt idx="11">
                <c:v>228.0182881897948</c:v>
              </c:pt>
              <c:pt idx="12">
                <c:v>241.4110402558337</c:v>
              </c:pt>
              <c:pt idx="13">
                <c:v>234.1594588548047</c:v>
              </c:pt>
              <c:pt idx="14">
                <c:v>249.3044988321525</c:v>
              </c:pt>
              <c:pt idx="15">
                <c:v>237.4730712262125</c:v>
              </c:pt>
              <c:pt idx="16">
                <c:v>218.1806929214597</c:v>
              </c:pt>
              <c:pt idx="17">
                <c:v>262.8366669104782</c:v>
              </c:pt>
            </c:numLit>
          </c:yVal>
          <c:smooth val="0"/>
        </c:ser>
        <c:ser>
          <c:idx val="1"/>
          <c:order val="1"/>
          <c:tx>
            <c:v>Regression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102.0</c:v>
              </c:pt>
              <c:pt idx="1">
                <c:v>244.0</c:v>
              </c:pt>
            </c:numLit>
          </c:xVal>
          <c:yVal>
            <c:numLit>
              <c:formatCode>General</c:formatCode>
              <c:ptCount val="2"/>
              <c:pt idx="0">
                <c:v>111.9914441860805</c:v>
              </c:pt>
              <c:pt idx="1">
                <c:v>267.7396530747817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2272264"/>
        <c:axId val="-2073534872"/>
      </c:scatterChart>
      <c:valAx>
        <c:axId val="-2102272264"/>
        <c:scaling>
          <c:orientation val="minMax"/>
          <c:max val="250.0"/>
          <c:min val="80.0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X</a:t>
                </a:r>
                <a:r>
                  <a:rPr lang="en-US" sz="2000" b="0" baseline="0"/>
                  <a:t> = Weight (lbs)</a:t>
                </a:r>
                <a:endParaRPr lang="en-US" sz="2000" b="0"/>
              </a:p>
            </c:rich>
          </c:tx>
          <c:layout>
            <c:manualLayout>
              <c:xMode val="edge"/>
              <c:yMode val="edge"/>
              <c:x val="0.394139075543189"/>
              <c:y val="0.918451769615755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anchor="t" anchorCtr="0"/>
          <a:lstStyle/>
          <a:p>
            <a:pPr>
              <a:defRPr sz="2000"/>
            </a:pPr>
            <a:endParaRPr lang="en-US"/>
          </a:p>
        </c:txPr>
        <c:crossAx val="-2073534872"/>
        <c:crosses val="autoZero"/>
        <c:crossBetween val="midCat"/>
        <c:majorUnit val="40.0"/>
        <c:minorUnit val="0.03"/>
      </c:valAx>
      <c:valAx>
        <c:axId val="-2073534872"/>
        <c:scaling>
          <c:orientation val="minMax"/>
          <c:max val="340.0"/>
          <c:min val="8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Y = Distance (ft)</a:t>
                </a:r>
              </a:p>
            </c:rich>
          </c:tx>
          <c:layout>
            <c:manualLayout>
              <c:xMode val="edge"/>
              <c:yMode val="edge"/>
              <c:x val="0.0117481203007519"/>
              <c:y val="0.264256370127647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-2102272264"/>
        <c:crossesAt val="0.0"/>
        <c:crossBetween val="midCat"/>
        <c:majorUnit val="40.0"/>
        <c:minorUnit val="40.0"/>
      </c:valAx>
      <c:spPr>
        <a:ln w="19050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398780</xdr:colOff>
      <xdr:row>74</xdr:row>
      <xdr:rowOff>7620</xdr:rowOff>
    </xdr:from>
    <xdr:to>
      <xdr:col>11</xdr:col>
      <xdr:colOff>673100</xdr:colOff>
      <xdr:row>103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1"/>
  <sheetViews>
    <sheetView topLeftCell="A254" zoomScale="125" zoomScaleNormal="125" zoomScalePageLayoutView="125" workbookViewId="0">
      <selection activeCell="C275" sqref="C275"/>
    </sheetView>
  </sheetViews>
  <sheetFormatPr baseColWidth="10" defaultRowHeight="13" x14ac:dyDescent="0"/>
  <cols>
    <col min="1" max="1" width="13.28515625" style="24" customWidth="1"/>
    <col min="2" max="3" width="14.140625" style="23" customWidth="1"/>
    <col min="4" max="4" width="16.5703125" style="23" customWidth="1"/>
    <col min="5" max="13" width="14.140625" style="23" customWidth="1"/>
    <col min="14" max="16384" width="10.7109375" style="23"/>
  </cols>
  <sheetData>
    <row r="1" spans="1:9" ht="14">
      <c r="A1" s="18" t="s">
        <v>171</v>
      </c>
      <c r="B1" s="19"/>
      <c r="C1" s="19"/>
      <c r="D1" s="20" t="s">
        <v>212</v>
      </c>
      <c r="E1" s="3">
        <v>1</v>
      </c>
      <c r="F1" s="20" t="s">
        <v>172</v>
      </c>
      <c r="G1" s="3">
        <f>E1*E2*E3</f>
        <v>12</v>
      </c>
      <c r="H1" s="21"/>
      <c r="I1" s="22"/>
    </row>
    <row r="2" spans="1:9" ht="15">
      <c r="B2" s="25"/>
      <c r="C2" s="25"/>
      <c r="D2" s="20" t="s">
        <v>173</v>
      </c>
      <c r="E2" s="3">
        <v>3</v>
      </c>
      <c r="F2" s="20" t="s">
        <v>174</v>
      </c>
      <c r="G2" s="3">
        <f>E1*E3</f>
        <v>4</v>
      </c>
      <c r="H2" s="21"/>
      <c r="I2" s="22"/>
    </row>
    <row r="3" spans="1:9" ht="15">
      <c r="B3" s="26"/>
      <c r="C3" s="26"/>
      <c r="D3" s="27" t="s">
        <v>175</v>
      </c>
      <c r="E3" s="9">
        <v>4</v>
      </c>
      <c r="F3" s="27" t="s">
        <v>176</v>
      </c>
      <c r="G3" s="9">
        <f>E1*E2</f>
        <v>3</v>
      </c>
      <c r="H3" s="22"/>
      <c r="I3" s="22"/>
    </row>
    <row r="4" spans="1:9">
      <c r="B4" s="26"/>
      <c r="C4" s="26"/>
      <c r="D4" s="27"/>
      <c r="E4" s="9"/>
      <c r="F4" s="27"/>
      <c r="G4" s="9"/>
      <c r="H4" s="22"/>
      <c r="I4" s="22"/>
    </row>
    <row r="5" spans="1:9">
      <c r="B5" s="26"/>
      <c r="C5" s="26"/>
      <c r="D5" s="28" t="s">
        <v>177</v>
      </c>
      <c r="E5" s="29">
        <v>0.05</v>
      </c>
      <c r="F5" s="27" t="s">
        <v>178</v>
      </c>
      <c r="G5" s="30">
        <v>0.95</v>
      </c>
      <c r="H5" s="22"/>
      <c r="I5" s="22"/>
    </row>
    <row r="6" spans="1:9" ht="15">
      <c r="B6" s="31" t="s">
        <v>179</v>
      </c>
      <c r="C6" s="32">
        <v>1</v>
      </c>
      <c r="D6" s="32"/>
      <c r="E6" s="31" t="s">
        <v>180</v>
      </c>
      <c r="F6" s="32">
        <v>0.5</v>
      </c>
      <c r="G6" s="33"/>
      <c r="H6" s="152"/>
      <c r="I6" s="153"/>
    </row>
    <row r="7" spans="1:9">
      <c r="B7" s="33"/>
      <c r="C7" s="31"/>
      <c r="D7" s="34"/>
      <c r="E7" s="320" t="s">
        <v>181</v>
      </c>
      <c r="F7" s="320"/>
      <c r="G7" s="320"/>
      <c r="H7" s="152"/>
      <c r="I7" s="153"/>
    </row>
    <row r="8" spans="1:9">
      <c r="B8" s="33"/>
      <c r="C8" s="31"/>
      <c r="D8" s="32"/>
      <c r="E8" s="7">
        <v>1</v>
      </c>
      <c r="F8" s="7">
        <v>5</v>
      </c>
      <c r="G8" s="7">
        <v>16</v>
      </c>
      <c r="H8" s="152"/>
      <c r="I8" s="153"/>
    </row>
    <row r="9" spans="1:9" ht="15">
      <c r="B9" s="35" t="s">
        <v>182</v>
      </c>
      <c r="C9" s="36" t="s">
        <v>183</v>
      </c>
      <c r="D9" s="37" t="s">
        <v>184</v>
      </c>
      <c r="E9" s="38">
        <v>2</v>
      </c>
      <c r="F9" s="38">
        <v>5</v>
      </c>
      <c r="G9" s="39">
        <v>5.5</v>
      </c>
      <c r="H9" s="154" t="s">
        <v>185</v>
      </c>
      <c r="I9" s="153"/>
    </row>
    <row r="10" spans="1:9">
      <c r="B10" s="40">
        <v>1</v>
      </c>
      <c r="C10" s="41">
        <v>-1.7365020269292522</v>
      </c>
      <c r="D10" s="166"/>
      <c r="E10" s="155">
        <v>0.8</v>
      </c>
      <c r="F10" s="155">
        <v>3.9</v>
      </c>
      <c r="G10" s="165">
        <v>3.9</v>
      </c>
      <c r="H10" s="155">
        <f>SUM(E10:G10)</f>
        <v>8.6</v>
      </c>
      <c r="I10" s="156"/>
    </row>
    <row r="11" spans="1:9">
      <c r="B11" s="40">
        <v>2</v>
      </c>
      <c r="C11" s="41">
        <v>-0.50876442173836711</v>
      </c>
      <c r="D11" s="167"/>
      <c r="E11" s="155">
        <v>1.4</v>
      </c>
      <c r="F11" s="155">
        <v>4.7</v>
      </c>
      <c r="G11" s="165">
        <v>6.2</v>
      </c>
      <c r="H11" s="155">
        <f>SUM(E11:G11)</f>
        <v>12.3</v>
      </c>
      <c r="I11" s="156"/>
    </row>
    <row r="12" spans="1:9">
      <c r="B12" s="40">
        <v>3</v>
      </c>
      <c r="C12" s="41">
        <v>-0.18485425886862994</v>
      </c>
      <c r="D12" s="167"/>
      <c r="E12" s="155">
        <v>1.6</v>
      </c>
      <c r="F12" s="155">
        <v>5.0999999999999996</v>
      </c>
      <c r="G12" s="165">
        <v>4.9000000000000004</v>
      </c>
      <c r="H12" s="155">
        <f>SUM(E12:G12)</f>
        <v>11.6</v>
      </c>
      <c r="I12" s="156"/>
    </row>
    <row r="13" spans="1:9">
      <c r="B13" s="42">
        <v>4</v>
      </c>
      <c r="C13" s="35">
        <v>0.61400100109773237</v>
      </c>
      <c r="D13" s="168"/>
      <c r="E13" s="157">
        <v>2.5</v>
      </c>
      <c r="F13" s="157">
        <v>6</v>
      </c>
      <c r="G13" s="169">
        <v>6.8</v>
      </c>
      <c r="H13" s="157">
        <f>SUM(E13:G13)</f>
        <v>15.3</v>
      </c>
      <c r="I13" s="156"/>
    </row>
    <row r="14" spans="1:9" ht="15">
      <c r="B14" s="160"/>
      <c r="C14" s="161"/>
      <c r="D14" s="162" t="s">
        <v>186</v>
      </c>
      <c r="E14" s="163">
        <f>SUM(E10:E13)</f>
        <v>6.3000000000000007</v>
      </c>
      <c r="F14" s="163">
        <f>SUM(F10:F13)</f>
        <v>19.7</v>
      </c>
      <c r="G14" s="164">
        <f>SUM(G10:G13)</f>
        <v>21.8</v>
      </c>
      <c r="H14" s="155">
        <f>SUM(E14:G14)</f>
        <v>47.8</v>
      </c>
      <c r="I14" s="158" t="s">
        <v>187</v>
      </c>
    </row>
    <row r="15" spans="1:9" ht="15">
      <c r="B15" s="156"/>
      <c r="C15" s="152"/>
      <c r="D15" s="162" t="s">
        <v>160</v>
      </c>
      <c r="E15" s="155">
        <f>AVERAGE(E10:E13)</f>
        <v>1.5750000000000002</v>
      </c>
      <c r="F15" s="155">
        <f>AVERAGE(F10:F13)</f>
        <v>4.9249999999999998</v>
      </c>
      <c r="G15" s="165">
        <f>AVERAGE(G10:G13)</f>
        <v>5.45</v>
      </c>
      <c r="H15" s="159">
        <f>AVERAGE(E10:G13)</f>
        <v>3.9833333333333329</v>
      </c>
      <c r="I15" s="158" t="s">
        <v>161</v>
      </c>
    </row>
    <row r="16" spans="1:9" ht="14">
      <c r="B16" s="43" t="s">
        <v>162</v>
      </c>
      <c r="C16" s="44"/>
      <c r="D16" s="44"/>
      <c r="E16" s="44"/>
      <c r="F16" s="44"/>
      <c r="G16" s="44"/>
      <c r="H16" s="44"/>
      <c r="I16" s="45"/>
    </row>
    <row r="17" spans="2:9">
      <c r="B17" s="46" t="s">
        <v>122</v>
      </c>
      <c r="C17" s="46">
        <f>SUMSQ(E10:G13)-H14^2/G1</f>
        <v>44.216666666666697</v>
      </c>
      <c r="D17" s="44"/>
      <c r="E17" s="44"/>
      <c r="F17" s="44"/>
      <c r="G17" s="44"/>
      <c r="H17" s="44"/>
      <c r="I17" s="45"/>
    </row>
    <row r="18" spans="2:9">
      <c r="B18" s="47" t="s">
        <v>189</v>
      </c>
      <c r="C18" s="44">
        <f>SUMSQ(E14:G14)/G2-H14^2/G1</f>
        <v>35.351666666666688</v>
      </c>
      <c r="D18" s="44"/>
      <c r="E18" s="44"/>
      <c r="F18" s="44"/>
      <c r="G18" s="44"/>
      <c r="H18" s="44"/>
      <c r="I18" s="45"/>
    </row>
    <row r="19" spans="2:9">
      <c r="B19" s="47" t="s">
        <v>213</v>
      </c>
      <c r="C19" s="44">
        <f>SUMSQ(H10:H13)/G3-H14^2/G1</f>
        <v>7.5633333333333894</v>
      </c>
      <c r="D19" s="44"/>
      <c r="E19" s="44"/>
      <c r="F19" s="44"/>
      <c r="G19" s="44"/>
      <c r="H19" s="44"/>
      <c r="I19" s="45"/>
    </row>
    <row r="20" spans="2:9">
      <c r="B20" s="47" t="s">
        <v>214</v>
      </c>
      <c r="C20" s="44">
        <f>C17-(C18+C19)</f>
        <v>1.3016666666666197</v>
      </c>
      <c r="D20" s="44"/>
      <c r="E20" s="44"/>
      <c r="F20" s="44"/>
      <c r="G20" s="44"/>
      <c r="H20" s="44"/>
      <c r="I20" s="45"/>
    </row>
    <row r="21" spans="2:9">
      <c r="B21" s="46" t="s">
        <v>123</v>
      </c>
      <c r="C21" s="46">
        <v>0</v>
      </c>
      <c r="D21" s="44"/>
      <c r="E21" s="44"/>
      <c r="F21" s="44"/>
      <c r="G21" s="44"/>
      <c r="H21" s="44"/>
      <c r="I21" s="45"/>
    </row>
    <row r="22" spans="2:9">
      <c r="B22" s="48" t="s">
        <v>163</v>
      </c>
      <c r="C22" s="48">
        <f>C17+C21</f>
        <v>44.216666666666697</v>
      </c>
      <c r="D22" s="49" t="s">
        <v>190</v>
      </c>
      <c r="E22" s="44"/>
      <c r="F22" s="44"/>
      <c r="G22" s="44"/>
      <c r="H22" s="44"/>
      <c r="I22" s="45"/>
    </row>
    <row r="23" spans="2:9">
      <c r="B23" s="44"/>
      <c r="C23" s="44"/>
      <c r="D23" s="44"/>
      <c r="E23" s="44"/>
      <c r="F23" s="44"/>
      <c r="G23" s="44"/>
      <c r="H23" s="44"/>
      <c r="I23" s="45"/>
    </row>
    <row r="24" spans="2:9" ht="14">
      <c r="B24" s="50" t="s">
        <v>164</v>
      </c>
      <c r="C24" s="51" t="s">
        <v>125</v>
      </c>
      <c r="D24" s="51" t="s">
        <v>126</v>
      </c>
      <c r="E24" s="51" t="s">
        <v>191</v>
      </c>
      <c r="F24" s="52" t="s">
        <v>165</v>
      </c>
      <c r="G24" s="52" t="s">
        <v>166</v>
      </c>
      <c r="H24" s="45"/>
      <c r="I24" s="45"/>
    </row>
    <row r="25" spans="2:9">
      <c r="B25" s="53" t="s">
        <v>167</v>
      </c>
      <c r="C25" s="54">
        <f>C17</f>
        <v>44.216666666666697</v>
      </c>
      <c r="D25" s="1">
        <f>E2*E3-1</f>
        <v>11</v>
      </c>
      <c r="E25" s="45"/>
      <c r="F25" s="10"/>
      <c r="G25" s="45"/>
      <c r="H25" s="45"/>
      <c r="I25" s="45"/>
    </row>
    <row r="26" spans="2:9">
      <c r="B26" s="55" t="s">
        <v>168</v>
      </c>
      <c r="C26" s="55">
        <f>C18</f>
        <v>35.351666666666688</v>
      </c>
      <c r="D26" s="6">
        <f>G3-1</f>
        <v>2</v>
      </c>
      <c r="E26" s="45">
        <f>C26/D26</f>
        <v>17.675833333333344</v>
      </c>
      <c r="F26" s="56">
        <f>E26/E28</f>
        <v>81.476312419977376</v>
      </c>
      <c r="G26" s="56">
        <f>FINV(E5,D26,D28)</f>
        <v>5.1432528497847176</v>
      </c>
      <c r="H26" s="45"/>
      <c r="I26" s="45"/>
    </row>
    <row r="27" spans="2:9">
      <c r="B27" s="55" t="s">
        <v>169</v>
      </c>
      <c r="C27" s="55">
        <f>C19</f>
        <v>7.5633333333333894</v>
      </c>
      <c r="D27" s="6">
        <f>G2-1</f>
        <v>3</v>
      </c>
      <c r="E27" s="45">
        <f>C27/D27</f>
        <v>2.52111111111113</v>
      </c>
      <c r="F27" s="45"/>
      <c r="G27" s="45"/>
      <c r="H27" s="45"/>
      <c r="I27" s="45"/>
    </row>
    <row r="28" spans="2:9">
      <c r="B28" s="55" t="s">
        <v>170</v>
      </c>
      <c r="C28" s="55">
        <f>C25-(C26+C27)</f>
        <v>1.3016666666666197</v>
      </c>
      <c r="D28" s="6">
        <f>D26*D27</f>
        <v>6</v>
      </c>
      <c r="E28" s="45">
        <f>C28/D28</f>
        <v>0.21694444444443661</v>
      </c>
      <c r="F28" s="45"/>
      <c r="G28" s="45"/>
      <c r="H28" s="45"/>
      <c r="I28" s="45"/>
    </row>
    <row r="29" spans="2:9">
      <c r="B29" s="44"/>
      <c r="C29" s="44"/>
      <c r="D29" s="44"/>
      <c r="E29" s="44"/>
      <c r="F29" s="45"/>
      <c r="G29" s="45"/>
      <c r="H29" s="45"/>
      <c r="I29" s="45"/>
    </row>
    <row r="30" spans="2:9">
      <c r="B30" s="57" t="s">
        <v>37</v>
      </c>
      <c r="C30" s="55"/>
      <c r="D30" s="6"/>
      <c r="E30" s="45"/>
      <c r="F30" s="45"/>
      <c r="G30" s="45"/>
      <c r="H30" s="45"/>
      <c r="I30" s="45"/>
    </row>
    <row r="31" spans="2:9">
      <c r="B31" s="57" t="s">
        <v>38</v>
      </c>
      <c r="C31" s="53"/>
      <c r="D31" s="1"/>
      <c r="E31" s="45"/>
      <c r="F31" s="45"/>
      <c r="G31" s="45"/>
      <c r="H31" s="45"/>
      <c r="I31" s="45"/>
    </row>
    <row r="32" spans="2:9" ht="15">
      <c r="B32" s="55" t="s">
        <v>39</v>
      </c>
      <c r="C32" s="57">
        <f>E28</f>
        <v>0.21694444444443661</v>
      </c>
      <c r="D32" s="1"/>
      <c r="E32" s="45"/>
      <c r="F32" s="45"/>
      <c r="G32" s="45"/>
      <c r="H32" s="45"/>
      <c r="I32" s="45"/>
    </row>
    <row r="33" spans="1:11">
      <c r="B33" s="55" t="s">
        <v>118</v>
      </c>
      <c r="C33" s="48">
        <f>SQRT(C32/G2)</f>
        <v>0.2328864768746978</v>
      </c>
      <c r="D33" s="10"/>
      <c r="E33" s="58"/>
      <c r="F33" s="45"/>
      <c r="G33" s="45"/>
      <c r="H33" s="45"/>
      <c r="I33" s="45"/>
    </row>
    <row r="34" spans="1:11" ht="14" thickBot="1">
      <c r="B34" s="55" t="s">
        <v>40</v>
      </c>
      <c r="C34" s="48">
        <f>TINV(1-G5,D28)</f>
        <v>2.4469118511449688</v>
      </c>
      <c r="D34" s="45"/>
      <c r="E34" s="45"/>
      <c r="F34" s="45"/>
      <c r="G34" s="45"/>
      <c r="H34" s="45"/>
      <c r="I34" s="45"/>
    </row>
    <row r="35" spans="1:11" ht="14" thickBot="1">
      <c r="B35" s="55" t="s">
        <v>211</v>
      </c>
      <c r="C35" s="48">
        <f>C33*C34</f>
        <v>0.5698526802360967</v>
      </c>
      <c r="D35" s="59"/>
      <c r="E35" s="11"/>
      <c r="F35" s="60"/>
      <c r="G35" s="55"/>
      <c r="H35" s="10"/>
      <c r="I35" s="61"/>
    </row>
    <row r="36" spans="1:11">
      <c r="B36" s="10"/>
      <c r="C36" s="10"/>
      <c r="D36" s="55"/>
      <c r="E36" s="55"/>
      <c r="F36" s="55"/>
      <c r="G36" s="55"/>
      <c r="H36" s="2"/>
      <c r="I36" s="53"/>
    </row>
    <row r="37" spans="1:11">
      <c r="B37" s="57" t="s">
        <v>41</v>
      </c>
      <c r="C37" s="53"/>
      <c r="D37" s="1"/>
      <c r="E37" s="54"/>
      <c r="F37" s="54"/>
      <c r="G37" s="54"/>
      <c r="H37" s="53"/>
      <c r="I37" s="53"/>
    </row>
    <row r="38" spans="1:11" ht="15">
      <c r="B38" s="55" t="s">
        <v>39</v>
      </c>
      <c r="C38" s="48">
        <f>(C27+C28)/(D27+D28)</f>
        <v>0.98500000000000099</v>
      </c>
      <c r="D38" s="6"/>
      <c r="E38" s="62"/>
      <c r="F38" s="62"/>
      <c r="G38" s="62"/>
      <c r="H38" s="55"/>
      <c r="I38" s="55"/>
    </row>
    <row r="39" spans="1:11">
      <c r="B39" s="55" t="s">
        <v>118</v>
      </c>
      <c r="C39" s="48">
        <f>SQRT(C38/G2)</f>
        <v>0.49623583103198043</v>
      </c>
      <c r="D39" s="6"/>
      <c r="E39" s="62"/>
      <c r="F39" s="62"/>
      <c r="G39" s="62"/>
      <c r="H39" s="55"/>
      <c r="I39" s="55"/>
    </row>
    <row r="40" spans="1:11">
      <c r="B40" s="55" t="s">
        <v>40</v>
      </c>
      <c r="C40" s="48">
        <f>TINV(1-G5,D27+D28)</f>
        <v>2.2621571627982049</v>
      </c>
      <c r="D40" s="6"/>
      <c r="E40" s="62"/>
      <c r="F40" s="62"/>
      <c r="G40" s="62"/>
      <c r="H40" s="55"/>
      <c r="I40" s="55"/>
    </row>
    <row r="41" spans="1:11">
      <c r="B41" s="55" t="s">
        <v>211</v>
      </c>
      <c r="C41" s="48">
        <f>C39*C40</f>
        <v>1.1225634396061142</v>
      </c>
      <c r="D41" s="1"/>
      <c r="E41" s="54"/>
      <c r="F41" s="54"/>
      <c r="G41" s="62"/>
      <c r="H41" s="2"/>
      <c r="I41" s="45"/>
    </row>
    <row r="42" spans="1:11">
      <c r="B42" s="10"/>
      <c r="C42" s="10"/>
      <c r="D42" s="10"/>
      <c r="E42" s="63"/>
      <c r="F42" s="63"/>
      <c r="G42" s="63"/>
      <c r="H42" s="10"/>
      <c r="I42" s="45"/>
    </row>
    <row r="43" spans="1:11">
      <c r="B43" s="12"/>
      <c r="C43" s="12"/>
      <c r="D43" s="12"/>
      <c r="E43" s="64"/>
      <c r="F43" s="64"/>
      <c r="G43" s="64"/>
      <c r="H43" s="12"/>
      <c r="I43" s="65"/>
    </row>
    <row r="44" spans="1:11">
      <c r="B44" s="12"/>
      <c r="C44" s="12"/>
      <c r="D44" s="12"/>
      <c r="E44" s="64"/>
      <c r="F44" s="64"/>
      <c r="G44" s="64"/>
      <c r="H44" s="12"/>
      <c r="I44" s="65"/>
    </row>
    <row r="45" spans="1:11" ht="14">
      <c r="A45" s="18" t="s">
        <v>188</v>
      </c>
      <c r="B45" s="66" t="s">
        <v>42</v>
      </c>
      <c r="C45" s="67"/>
      <c r="D45" s="66"/>
      <c r="E45" s="68"/>
      <c r="F45" s="67"/>
      <c r="G45" s="66"/>
      <c r="H45" s="68"/>
      <c r="I45" s="68"/>
      <c r="J45" s="68"/>
      <c r="K45" s="68"/>
    </row>
    <row r="46" spans="1:11" ht="14">
      <c r="B46" s="19"/>
      <c r="C46" s="19"/>
      <c r="D46" s="20" t="s">
        <v>43</v>
      </c>
      <c r="E46" s="3">
        <v>1</v>
      </c>
      <c r="F46" s="20" t="s">
        <v>44</v>
      </c>
      <c r="G46" s="3">
        <f>E46*E47*E48</f>
        <v>50</v>
      </c>
      <c r="H46" s="20"/>
      <c r="I46" s="21"/>
      <c r="J46" s="21"/>
      <c r="K46" s="22"/>
    </row>
    <row r="47" spans="1:11">
      <c r="B47" s="25"/>
      <c r="C47" s="25"/>
      <c r="D47" s="20" t="s">
        <v>45</v>
      </c>
      <c r="E47" s="3">
        <v>5</v>
      </c>
      <c r="F47" s="20" t="s">
        <v>138</v>
      </c>
      <c r="G47" s="3">
        <f>E46*E48</f>
        <v>10</v>
      </c>
      <c r="H47" s="20"/>
      <c r="I47" s="21"/>
      <c r="J47" s="21"/>
      <c r="K47" s="22"/>
    </row>
    <row r="48" spans="1:11">
      <c r="B48" s="26"/>
      <c r="C48" s="26"/>
      <c r="D48" s="27" t="s">
        <v>139</v>
      </c>
      <c r="E48" s="9">
        <v>10</v>
      </c>
      <c r="F48" s="27" t="s">
        <v>140</v>
      </c>
      <c r="G48" s="9">
        <f>E46*E47</f>
        <v>5</v>
      </c>
      <c r="H48" s="27"/>
      <c r="I48" s="21"/>
      <c r="J48" s="22"/>
      <c r="K48" s="22"/>
    </row>
    <row r="49" spans="2:11">
      <c r="B49" s="26"/>
      <c r="C49" s="26"/>
      <c r="D49" s="27"/>
      <c r="E49" s="9"/>
      <c r="F49" s="27"/>
      <c r="G49" s="27"/>
      <c r="H49" s="27"/>
      <c r="I49" s="21"/>
      <c r="J49" s="22"/>
      <c r="K49" s="22"/>
    </row>
    <row r="50" spans="2:11">
      <c r="B50" s="26"/>
      <c r="C50" s="26"/>
      <c r="D50" s="28" t="s">
        <v>141</v>
      </c>
      <c r="E50" s="29">
        <v>0.05</v>
      </c>
      <c r="F50" s="27" t="s">
        <v>142</v>
      </c>
      <c r="G50" s="30">
        <v>0.95</v>
      </c>
      <c r="H50" s="27"/>
      <c r="I50" s="21"/>
      <c r="J50" s="22"/>
      <c r="K50" s="22"/>
    </row>
    <row r="51" spans="2:11" ht="15">
      <c r="B51" s="31" t="s">
        <v>143</v>
      </c>
      <c r="C51" s="32">
        <v>1</v>
      </c>
      <c r="D51" s="32"/>
      <c r="E51" s="31" t="s">
        <v>180</v>
      </c>
      <c r="F51" s="32">
        <v>0.5</v>
      </c>
      <c r="G51" s="32"/>
      <c r="H51" s="32"/>
      <c r="I51" s="33"/>
      <c r="J51" s="152"/>
      <c r="K51" s="153"/>
    </row>
    <row r="52" spans="2:11">
      <c r="B52" s="33"/>
      <c r="C52" s="31"/>
      <c r="D52" s="34"/>
      <c r="E52" s="320" t="s">
        <v>144</v>
      </c>
      <c r="F52" s="320"/>
      <c r="G52" s="320"/>
      <c r="H52" s="320"/>
      <c r="I52" s="320"/>
      <c r="J52" s="152"/>
      <c r="K52" s="153"/>
    </row>
    <row r="53" spans="2:11">
      <c r="B53" s="33"/>
      <c r="C53" s="31"/>
      <c r="D53" s="32"/>
      <c r="E53" s="7">
        <v>1</v>
      </c>
      <c r="F53" s="7">
        <v>2</v>
      </c>
      <c r="G53" s="7">
        <v>3</v>
      </c>
      <c r="H53" s="7">
        <v>4</v>
      </c>
      <c r="I53" s="7">
        <v>5</v>
      </c>
      <c r="J53" s="152"/>
      <c r="K53" s="153"/>
    </row>
    <row r="54" spans="2:11">
      <c r="B54" s="35" t="s">
        <v>145</v>
      </c>
      <c r="C54" s="69" t="s">
        <v>146</v>
      </c>
      <c r="D54" s="37" t="s">
        <v>147</v>
      </c>
      <c r="E54" s="38">
        <v>2</v>
      </c>
      <c r="F54" s="38">
        <f>E54</f>
        <v>2</v>
      </c>
      <c r="G54" s="38">
        <f t="shared" ref="G54:I54" si="0">F54</f>
        <v>2</v>
      </c>
      <c r="H54" s="38">
        <f t="shared" si="0"/>
        <v>2</v>
      </c>
      <c r="I54" s="38">
        <f t="shared" si="0"/>
        <v>2</v>
      </c>
      <c r="J54" s="154" t="s">
        <v>148</v>
      </c>
      <c r="K54" s="153"/>
    </row>
    <row r="55" spans="2:11">
      <c r="B55" s="40">
        <v>1</v>
      </c>
      <c r="C55" s="70">
        <v>0.12151092025476598</v>
      </c>
      <c r="D55" s="173"/>
      <c r="E55" s="174">
        <v>1</v>
      </c>
      <c r="F55" s="174">
        <v>1</v>
      </c>
      <c r="G55" s="174">
        <v>2</v>
      </c>
      <c r="H55" s="174">
        <v>1</v>
      </c>
      <c r="I55" s="175">
        <v>2</v>
      </c>
      <c r="J55" s="155">
        <f>SUM(E55:I55)</f>
        <v>7</v>
      </c>
      <c r="K55" s="156"/>
    </row>
    <row r="56" spans="2:11">
      <c r="B56" s="40">
        <v>2</v>
      </c>
      <c r="C56" s="70">
        <v>0.50598346351899193</v>
      </c>
      <c r="D56" s="173"/>
      <c r="E56" s="174">
        <v>5</v>
      </c>
      <c r="F56" s="174">
        <v>4</v>
      </c>
      <c r="G56" s="174">
        <v>4</v>
      </c>
      <c r="H56" s="174">
        <v>4</v>
      </c>
      <c r="I56" s="175">
        <v>4</v>
      </c>
      <c r="J56" s="155">
        <f t="shared" ref="J56:J62" si="1">SUM(E56:I56)</f>
        <v>21</v>
      </c>
      <c r="K56" s="156"/>
    </row>
    <row r="57" spans="2:11">
      <c r="B57" s="40">
        <v>3</v>
      </c>
      <c r="C57" s="70">
        <v>-0.35312774318288676</v>
      </c>
      <c r="D57" s="173"/>
      <c r="E57" s="174">
        <v>3</v>
      </c>
      <c r="F57" s="174">
        <v>3</v>
      </c>
      <c r="G57" s="174">
        <v>3</v>
      </c>
      <c r="H57" s="174">
        <v>3</v>
      </c>
      <c r="I57" s="175">
        <v>4</v>
      </c>
      <c r="J57" s="155">
        <f t="shared" si="1"/>
        <v>16</v>
      </c>
      <c r="K57" s="156"/>
    </row>
    <row r="58" spans="2:11">
      <c r="B58" s="40">
        <v>4</v>
      </c>
      <c r="C58" s="70">
        <v>2.4269131905653295E-2</v>
      </c>
      <c r="D58" s="173"/>
      <c r="E58" s="174">
        <v>2</v>
      </c>
      <c r="F58" s="174">
        <v>1</v>
      </c>
      <c r="G58" s="174">
        <v>1</v>
      </c>
      <c r="H58" s="174">
        <v>1</v>
      </c>
      <c r="I58" s="175">
        <v>1</v>
      </c>
      <c r="J58" s="155">
        <f t="shared" si="1"/>
        <v>6</v>
      </c>
      <c r="K58" s="156"/>
    </row>
    <row r="59" spans="2:11">
      <c r="B59" s="40">
        <v>5</v>
      </c>
      <c r="C59" s="70">
        <v>0.21701038760370422</v>
      </c>
      <c r="D59" s="173"/>
      <c r="E59" s="174">
        <v>3</v>
      </c>
      <c r="F59" s="174">
        <v>3</v>
      </c>
      <c r="G59" s="174">
        <v>2</v>
      </c>
      <c r="H59" s="174">
        <v>2</v>
      </c>
      <c r="I59" s="175">
        <v>2</v>
      </c>
      <c r="J59" s="155">
        <f t="shared" si="1"/>
        <v>12</v>
      </c>
      <c r="K59" s="156"/>
    </row>
    <row r="60" spans="2:11">
      <c r="B60" s="40">
        <v>6</v>
      </c>
      <c r="C60" s="70">
        <v>-0.20811561574069665</v>
      </c>
      <c r="D60" s="173"/>
      <c r="E60" s="174">
        <v>2</v>
      </c>
      <c r="F60" s="174">
        <v>2</v>
      </c>
      <c r="G60" s="174">
        <v>1</v>
      </c>
      <c r="H60" s="174">
        <v>2</v>
      </c>
      <c r="I60" s="175">
        <v>1</v>
      </c>
      <c r="J60" s="155">
        <f t="shared" si="1"/>
        <v>8</v>
      </c>
      <c r="K60" s="156"/>
    </row>
    <row r="61" spans="2:11">
      <c r="B61" s="40">
        <v>7</v>
      </c>
      <c r="C61" s="70">
        <v>-1.2612060894471799</v>
      </c>
      <c r="D61" s="173"/>
      <c r="E61" s="174">
        <v>3</v>
      </c>
      <c r="F61" s="174">
        <v>2</v>
      </c>
      <c r="G61" s="174">
        <v>2</v>
      </c>
      <c r="H61" s="174">
        <v>2</v>
      </c>
      <c r="I61" s="175">
        <v>1</v>
      </c>
      <c r="J61" s="155">
        <f t="shared" si="1"/>
        <v>10</v>
      </c>
      <c r="K61" s="156"/>
    </row>
    <row r="62" spans="2:11">
      <c r="B62" s="40">
        <v>8</v>
      </c>
      <c r="C62" s="70">
        <v>0.64869028082292712</v>
      </c>
      <c r="D62" s="167"/>
      <c r="E62" s="174">
        <v>1</v>
      </c>
      <c r="F62" s="174">
        <v>1</v>
      </c>
      <c r="G62" s="174">
        <v>2</v>
      </c>
      <c r="H62" s="174">
        <v>2</v>
      </c>
      <c r="I62" s="175">
        <v>3</v>
      </c>
      <c r="J62" s="155">
        <f t="shared" si="1"/>
        <v>9</v>
      </c>
      <c r="K62" s="156"/>
    </row>
    <row r="63" spans="2:11">
      <c r="B63" s="40">
        <v>9</v>
      </c>
      <c r="C63" s="70">
        <v>-0.18484781598920319</v>
      </c>
      <c r="D63" s="167"/>
      <c r="E63" s="174">
        <v>1</v>
      </c>
      <c r="F63" s="174">
        <v>1</v>
      </c>
      <c r="G63" s="174">
        <v>1</v>
      </c>
      <c r="H63" s="174">
        <v>1</v>
      </c>
      <c r="I63" s="175">
        <v>2</v>
      </c>
      <c r="J63" s="155">
        <f>SUM(E63:I63)</f>
        <v>6</v>
      </c>
      <c r="K63" s="156"/>
    </row>
    <row r="64" spans="2:11">
      <c r="B64" s="40">
        <v>10</v>
      </c>
      <c r="C64" s="70">
        <v>0.15971611393419072</v>
      </c>
      <c r="D64" s="176"/>
      <c r="E64" s="177">
        <v>2</v>
      </c>
      <c r="F64" s="177">
        <v>2</v>
      </c>
      <c r="G64" s="177">
        <v>1</v>
      </c>
      <c r="H64" s="177">
        <v>2</v>
      </c>
      <c r="I64" s="178">
        <v>2</v>
      </c>
      <c r="J64" s="157">
        <f>SUM(E64:I64)</f>
        <v>9</v>
      </c>
      <c r="K64" s="156"/>
    </row>
    <row r="65" spans="2:11">
      <c r="B65" s="160"/>
      <c r="C65" s="170"/>
      <c r="D65" s="171" t="s">
        <v>149</v>
      </c>
      <c r="E65" s="163">
        <f>SUM(E55:E64)</f>
        <v>23</v>
      </c>
      <c r="F65" s="163">
        <f>SUM(F55:F64)</f>
        <v>20</v>
      </c>
      <c r="G65" s="163">
        <f t="shared" ref="G65:H65" si="2">SUM(G55:G64)</f>
        <v>19</v>
      </c>
      <c r="H65" s="163">
        <f t="shared" si="2"/>
        <v>20</v>
      </c>
      <c r="I65" s="165">
        <f>SUM(I55:I64)</f>
        <v>22</v>
      </c>
      <c r="J65" s="155">
        <f>SUM(E65:I65)</f>
        <v>104</v>
      </c>
      <c r="K65" s="158" t="s">
        <v>150</v>
      </c>
    </row>
    <row r="66" spans="2:11">
      <c r="B66" s="156"/>
      <c r="C66" s="172"/>
      <c r="D66" s="171" t="s">
        <v>151</v>
      </c>
      <c r="E66" s="155">
        <f>AVERAGE(E55:E64)</f>
        <v>2.2999999999999998</v>
      </c>
      <c r="F66" s="155">
        <f>AVERAGE(F55:F64)</f>
        <v>2</v>
      </c>
      <c r="G66" s="155">
        <f t="shared" ref="G66:H66" si="3">AVERAGE(G55:G64)</f>
        <v>1.9</v>
      </c>
      <c r="H66" s="155">
        <f t="shared" si="3"/>
        <v>2</v>
      </c>
      <c r="I66" s="165">
        <f>AVERAGE(I55:I64)</f>
        <v>2.2000000000000002</v>
      </c>
      <c r="J66" s="159">
        <f>AVERAGE(E55:I64)</f>
        <v>2.08</v>
      </c>
      <c r="K66" s="158" t="s">
        <v>152</v>
      </c>
    </row>
    <row r="67" spans="2:11" ht="14">
      <c r="B67" s="43" t="s">
        <v>153</v>
      </c>
      <c r="C67" s="44"/>
      <c r="D67" s="44"/>
      <c r="E67" s="44"/>
      <c r="F67" s="44"/>
      <c r="G67" s="44"/>
      <c r="H67" s="44"/>
      <c r="I67" s="44"/>
      <c r="J67" s="44"/>
      <c r="K67" s="45"/>
    </row>
    <row r="68" spans="2:11">
      <c r="B68" s="46" t="s">
        <v>154</v>
      </c>
      <c r="C68" s="46">
        <f>SUMSQ(E55:I64)-J65^2/G46</f>
        <v>53.680000000000007</v>
      </c>
      <c r="D68" s="44"/>
      <c r="E68" s="44"/>
      <c r="F68" s="44"/>
      <c r="G68" s="44"/>
      <c r="H68" s="44"/>
      <c r="I68" s="44"/>
      <c r="J68" s="44"/>
      <c r="K68" s="45"/>
    </row>
    <row r="69" spans="2:11">
      <c r="B69" s="47" t="s">
        <v>97</v>
      </c>
      <c r="C69" s="44">
        <f>SUMSQ(E65:I65)/G47-J65^2/G46</f>
        <v>1.0800000000000125</v>
      </c>
      <c r="D69" s="44"/>
      <c r="E69" s="44"/>
      <c r="F69" s="44"/>
      <c r="G69" s="44"/>
      <c r="H69" s="44"/>
      <c r="I69" s="44"/>
      <c r="J69" s="44"/>
      <c r="K69" s="45"/>
    </row>
    <row r="70" spans="2:11">
      <c r="B70" s="47" t="s">
        <v>98</v>
      </c>
      <c r="C70" s="44">
        <f>SUMSQ(J55:J64)/G48-J65^2/G46</f>
        <v>41.28000000000003</v>
      </c>
      <c r="D70" s="44"/>
      <c r="E70" s="44"/>
      <c r="F70" s="44"/>
      <c r="G70" s="44"/>
      <c r="H70" s="44"/>
      <c r="I70" s="44"/>
      <c r="J70" s="44"/>
      <c r="K70" s="45"/>
    </row>
    <row r="71" spans="2:11">
      <c r="B71" s="47" t="s">
        <v>99</v>
      </c>
      <c r="C71" s="44">
        <f>C68-(C69+C70)</f>
        <v>11.319999999999965</v>
      </c>
      <c r="D71" s="44"/>
      <c r="E71" s="44"/>
      <c r="F71" s="44"/>
      <c r="G71" s="44"/>
      <c r="H71" s="44"/>
      <c r="I71" s="44"/>
      <c r="J71" s="44"/>
      <c r="K71" s="45"/>
    </row>
    <row r="72" spans="2:11">
      <c r="B72" s="46" t="s">
        <v>100</v>
      </c>
      <c r="C72" s="46">
        <v>0</v>
      </c>
      <c r="D72" s="44"/>
      <c r="E72" s="44"/>
      <c r="F72" s="44"/>
      <c r="G72" s="44"/>
      <c r="H72" s="44"/>
      <c r="I72" s="44"/>
      <c r="J72" s="44"/>
      <c r="K72" s="45"/>
    </row>
    <row r="73" spans="2:11">
      <c r="B73" s="48" t="s">
        <v>101</v>
      </c>
      <c r="C73" s="48">
        <f>C68+C72</f>
        <v>53.680000000000007</v>
      </c>
      <c r="D73" s="49" t="s">
        <v>102</v>
      </c>
      <c r="E73" s="44"/>
      <c r="F73" s="44"/>
      <c r="G73" s="44"/>
      <c r="H73" s="44"/>
      <c r="I73" s="44"/>
      <c r="J73" s="44"/>
      <c r="K73" s="45"/>
    </row>
    <row r="74" spans="2:11">
      <c r="B74" s="44"/>
      <c r="C74" s="44"/>
      <c r="D74" s="44"/>
      <c r="E74" s="44"/>
      <c r="F74" s="44"/>
      <c r="G74" s="44"/>
      <c r="H74" s="44"/>
      <c r="I74" s="44"/>
      <c r="J74" s="44"/>
      <c r="K74" s="45"/>
    </row>
    <row r="75" spans="2:11" ht="14">
      <c r="B75" s="50" t="s">
        <v>103</v>
      </c>
      <c r="C75" s="51" t="s">
        <v>104</v>
      </c>
      <c r="D75" s="51" t="s">
        <v>105</v>
      </c>
      <c r="E75" s="51" t="s">
        <v>106</v>
      </c>
      <c r="F75" s="52" t="s">
        <v>107</v>
      </c>
      <c r="G75" s="52" t="s">
        <v>108</v>
      </c>
      <c r="H75" s="52"/>
      <c r="I75" s="44"/>
      <c r="J75" s="45"/>
      <c r="K75" s="45"/>
    </row>
    <row r="76" spans="2:11">
      <c r="B76" s="53" t="s">
        <v>109</v>
      </c>
      <c r="C76" s="54">
        <f>C68</f>
        <v>53.680000000000007</v>
      </c>
      <c r="D76" s="1">
        <f>E47*E48-1</f>
        <v>49</v>
      </c>
      <c r="E76" s="45"/>
      <c r="F76" s="10"/>
      <c r="G76" s="45"/>
      <c r="H76" s="10"/>
      <c r="I76" s="44"/>
      <c r="J76" s="45"/>
      <c r="K76" s="45"/>
    </row>
    <row r="77" spans="2:11">
      <c r="B77" s="55" t="s">
        <v>110</v>
      </c>
      <c r="C77" s="55">
        <f>C69</f>
        <v>1.0800000000000125</v>
      </c>
      <c r="D77" s="6">
        <f>G48-1</f>
        <v>4</v>
      </c>
      <c r="E77" s="45">
        <f>C77/D77</f>
        <v>0.27000000000000313</v>
      </c>
      <c r="F77" s="71">
        <f>E77/E79</f>
        <v>0.85865724381626707</v>
      </c>
      <c r="G77" s="71">
        <f>FINV(E50,D77,D79)</f>
        <v>2.6335320942137543</v>
      </c>
      <c r="H77" s="56"/>
      <c r="I77" s="44"/>
      <c r="J77" s="45"/>
      <c r="K77" s="45"/>
    </row>
    <row r="78" spans="2:11" ht="15" customHeight="1">
      <c r="B78" s="55" t="s">
        <v>111</v>
      </c>
      <c r="C78" s="55">
        <f>C70</f>
        <v>41.28000000000003</v>
      </c>
      <c r="D78" s="6">
        <f>G47-1</f>
        <v>9</v>
      </c>
      <c r="E78" s="45">
        <f>C78/D78</f>
        <v>4.5866666666666696</v>
      </c>
      <c r="F78" s="45"/>
      <c r="G78" s="45"/>
      <c r="H78" s="45"/>
      <c r="I78" s="44"/>
      <c r="J78" s="45"/>
      <c r="K78" s="45"/>
    </row>
    <row r="79" spans="2:11">
      <c r="B79" s="55" t="s">
        <v>112</v>
      </c>
      <c r="C79" s="55">
        <f>C76-(C77+C78)</f>
        <v>11.319999999999965</v>
      </c>
      <c r="D79" s="6">
        <f>D77*D78</f>
        <v>36</v>
      </c>
      <c r="E79" s="45">
        <f>C79/D79</f>
        <v>0.31444444444444347</v>
      </c>
      <c r="F79" s="45"/>
      <c r="G79" s="45"/>
      <c r="H79" s="45"/>
      <c r="I79" s="45"/>
      <c r="J79" s="45"/>
      <c r="K79" s="45"/>
    </row>
    <row r="80" spans="2:11">
      <c r="B80" s="44"/>
      <c r="C80" s="44"/>
      <c r="D80" s="44"/>
      <c r="E80" s="44"/>
      <c r="F80" s="45"/>
      <c r="G80" s="45"/>
      <c r="H80" s="45"/>
      <c r="I80" s="45"/>
      <c r="J80" s="45"/>
      <c r="K80" s="45"/>
    </row>
    <row r="81" spans="2:11">
      <c r="B81" s="57" t="s">
        <v>113</v>
      </c>
      <c r="C81" s="55"/>
      <c r="D81" s="6"/>
      <c r="E81" s="45"/>
      <c r="F81" s="45"/>
      <c r="G81" s="45"/>
      <c r="H81" s="45"/>
      <c r="I81" s="45"/>
      <c r="J81" s="45"/>
      <c r="K81" s="45"/>
    </row>
    <row r="82" spans="2:11">
      <c r="B82" s="72" t="s">
        <v>114</v>
      </c>
      <c r="C82" s="53"/>
      <c r="D82" s="72" t="s">
        <v>115</v>
      </c>
      <c r="E82" s="53"/>
      <c r="F82" s="45"/>
      <c r="G82" s="45"/>
      <c r="H82" s="45"/>
      <c r="I82" s="45"/>
      <c r="J82" s="45"/>
      <c r="K82" s="45"/>
    </row>
    <row r="83" spans="2:11" ht="15">
      <c r="B83" s="55" t="s">
        <v>39</v>
      </c>
      <c r="C83" s="57">
        <f>E79</f>
        <v>0.31444444444444347</v>
      </c>
      <c r="D83" s="55" t="s">
        <v>39</v>
      </c>
      <c r="E83" s="48">
        <f>(C78+C79)/(D78+D79)</f>
        <v>1.1688888888888889</v>
      </c>
      <c r="F83" s="45"/>
      <c r="G83" s="45"/>
      <c r="H83" s="45"/>
      <c r="I83" s="45"/>
      <c r="J83" s="45"/>
      <c r="K83" s="45"/>
    </row>
    <row r="84" spans="2:11">
      <c r="B84" s="55" t="s">
        <v>118</v>
      </c>
      <c r="C84" s="48">
        <f>SQRT(C83/G47)</f>
        <v>0.1773258143769382</v>
      </c>
      <c r="D84" s="55" t="s">
        <v>118</v>
      </c>
      <c r="E84" s="48">
        <f>SQRT(E83/G47)</f>
        <v>0.34189017079888229</v>
      </c>
      <c r="F84" s="45"/>
      <c r="G84" s="45"/>
      <c r="H84" s="45"/>
      <c r="I84" s="45"/>
      <c r="J84" s="45"/>
      <c r="K84" s="45"/>
    </row>
    <row r="85" spans="2:11">
      <c r="B85" s="55" t="s">
        <v>40</v>
      </c>
      <c r="C85" s="48">
        <f>TINV(1-G50,D79)</f>
        <v>2.0280940009804502</v>
      </c>
      <c r="D85" s="55" t="s">
        <v>40</v>
      </c>
      <c r="E85" s="48">
        <f>TINV(1-G50,D78+D79)</f>
        <v>2.0141033888808457</v>
      </c>
      <c r="F85" s="45"/>
      <c r="G85" s="45"/>
      <c r="H85" s="45"/>
      <c r="I85" s="45"/>
      <c r="J85" s="45"/>
      <c r="K85" s="45"/>
    </row>
    <row r="86" spans="2:11">
      <c r="B86" s="55" t="s">
        <v>211</v>
      </c>
      <c r="C86" s="48">
        <f>C84*C85</f>
        <v>0.35963342035684126</v>
      </c>
      <c r="D86" s="55" t="s">
        <v>211</v>
      </c>
      <c r="E86" s="48">
        <f>E84*E85</f>
        <v>0.68860215163107996</v>
      </c>
      <c r="F86" s="60"/>
      <c r="G86" s="60"/>
      <c r="H86" s="60"/>
      <c r="I86" s="55"/>
      <c r="J86" s="10"/>
      <c r="K86" s="45"/>
    </row>
    <row r="87" spans="2:11">
      <c r="B87" s="10"/>
      <c r="C87" s="10"/>
      <c r="D87" s="55"/>
      <c r="E87" s="55"/>
      <c r="F87" s="55"/>
      <c r="G87" s="55"/>
      <c r="H87" s="55"/>
      <c r="I87" s="55"/>
      <c r="J87" s="2"/>
      <c r="K87" s="53"/>
    </row>
    <row r="88" spans="2:11">
      <c r="B88" s="12"/>
      <c r="C88" s="12"/>
      <c r="D88" s="73"/>
      <c r="E88" s="73"/>
      <c r="F88" s="73"/>
      <c r="G88" s="73"/>
      <c r="H88" s="73"/>
      <c r="I88" s="73"/>
      <c r="J88" s="13"/>
      <c r="K88" s="74"/>
    </row>
    <row r="89" spans="2:11">
      <c r="B89" s="75"/>
      <c r="C89" s="75"/>
      <c r="D89" s="15"/>
      <c r="E89" s="76"/>
      <c r="F89" s="76"/>
      <c r="G89" s="76"/>
      <c r="H89" s="77"/>
      <c r="I89" s="78"/>
    </row>
    <row r="90" spans="2:11">
      <c r="B90" s="66" t="s">
        <v>116</v>
      </c>
      <c r="C90" s="67"/>
      <c r="D90" s="66"/>
      <c r="E90" s="68"/>
      <c r="F90" s="67"/>
      <c r="G90" s="66"/>
      <c r="H90" s="68"/>
      <c r="I90" s="68"/>
      <c r="J90" s="68"/>
      <c r="K90" s="68"/>
    </row>
    <row r="91" spans="2:11" ht="14">
      <c r="B91" s="19"/>
      <c r="C91" s="19"/>
      <c r="D91" s="20" t="s">
        <v>43</v>
      </c>
      <c r="E91" s="3">
        <v>1</v>
      </c>
      <c r="F91" s="20" t="s">
        <v>44</v>
      </c>
      <c r="G91" s="3">
        <f>E91*E92*E93</f>
        <v>50</v>
      </c>
      <c r="H91" s="20"/>
      <c r="I91" s="21"/>
      <c r="J91" s="21"/>
      <c r="K91" s="22"/>
    </row>
    <row r="92" spans="2:11">
      <c r="B92" s="25"/>
      <c r="C92" s="25"/>
      <c r="D92" s="20" t="s">
        <v>45</v>
      </c>
      <c r="E92" s="3">
        <v>5</v>
      </c>
      <c r="F92" s="20" t="s">
        <v>138</v>
      </c>
      <c r="G92" s="3">
        <f>E91*E93</f>
        <v>10</v>
      </c>
      <c r="H92" s="20"/>
      <c r="I92" s="21"/>
      <c r="J92" s="21"/>
      <c r="K92" s="22"/>
    </row>
    <row r="93" spans="2:11">
      <c r="B93" s="26"/>
      <c r="C93" s="26"/>
      <c r="D93" s="27" t="s">
        <v>139</v>
      </c>
      <c r="E93" s="9">
        <v>10</v>
      </c>
      <c r="F93" s="27" t="s">
        <v>140</v>
      </c>
      <c r="G93" s="9">
        <f>E91*E92</f>
        <v>5</v>
      </c>
      <c r="H93" s="27"/>
      <c r="I93" s="21"/>
      <c r="J93" s="22"/>
      <c r="K93" s="22"/>
    </row>
    <row r="94" spans="2:11">
      <c r="B94" s="26"/>
      <c r="C94" s="26"/>
      <c r="D94" s="27"/>
      <c r="E94" s="9"/>
      <c r="F94" s="27"/>
      <c r="G94" s="27"/>
      <c r="H94" s="27"/>
      <c r="I94" s="21"/>
      <c r="J94" s="22"/>
      <c r="K94" s="22"/>
    </row>
    <row r="95" spans="2:11">
      <c r="B95" s="26"/>
      <c r="C95" s="26"/>
      <c r="D95" s="28" t="s">
        <v>141</v>
      </c>
      <c r="E95" s="29">
        <v>0.05</v>
      </c>
      <c r="F95" s="27" t="s">
        <v>142</v>
      </c>
      <c r="G95" s="30">
        <v>0.95</v>
      </c>
      <c r="H95" s="27"/>
      <c r="I95" s="21"/>
      <c r="J95" s="22"/>
      <c r="K95" s="22"/>
    </row>
    <row r="96" spans="2:11" ht="15">
      <c r="B96" s="31" t="s">
        <v>143</v>
      </c>
      <c r="C96" s="32">
        <v>1</v>
      </c>
      <c r="D96" s="32"/>
      <c r="E96" s="31" t="s">
        <v>180</v>
      </c>
      <c r="F96" s="32">
        <v>0.5</v>
      </c>
      <c r="G96" s="32"/>
      <c r="H96" s="32"/>
      <c r="I96" s="33"/>
      <c r="J96" s="152"/>
      <c r="K96" s="153"/>
    </row>
    <row r="97" spans="2:11">
      <c r="B97" s="33"/>
      <c r="C97" s="31"/>
      <c r="D97" s="34"/>
      <c r="E97" s="320" t="s">
        <v>144</v>
      </c>
      <c r="F97" s="320"/>
      <c r="G97" s="320"/>
      <c r="H97" s="320"/>
      <c r="I97" s="320"/>
      <c r="J97" s="152"/>
      <c r="K97" s="153"/>
    </row>
    <row r="98" spans="2:11">
      <c r="B98" s="33"/>
      <c r="C98" s="31"/>
      <c r="D98" s="32"/>
      <c r="E98" s="7">
        <v>1</v>
      </c>
      <c r="F98" s="7">
        <v>2</v>
      </c>
      <c r="G98" s="7">
        <v>3</v>
      </c>
      <c r="H98" s="7">
        <v>4</v>
      </c>
      <c r="I98" s="7">
        <v>5</v>
      </c>
      <c r="J98" s="152"/>
      <c r="K98" s="153"/>
    </row>
    <row r="99" spans="2:11">
      <c r="B99" s="35" t="s">
        <v>145</v>
      </c>
      <c r="C99" s="69" t="s">
        <v>146</v>
      </c>
      <c r="D99" s="37" t="s">
        <v>147</v>
      </c>
      <c r="E99" s="38">
        <v>2</v>
      </c>
      <c r="F99" s="38">
        <v>2</v>
      </c>
      <c r="G99" s="38">
        <v>2.5</v>
      </c>
      <c r="H99" s="38">
        <v>3</v>
      </c>
      <c r="I99" s="39">
        <v>5.5</v>
      </c>
      <c r="J99" s="154" t="s">
        <v>148</v>
      </c>
      <c r="K99" s="153"/>
    </row>
    <row r="100" spans="2:11">
      <c r="B100" s="40">
        <v>1</v>
      </c>
      <c r="C100" s="70">
        <v>1.3363726468973152</v>
      </c>
      <c r="D100" s="173"/>
      <c r="E100" s="174">
        <v>3</v>
      </c>
      <c r="F100" s="174">
        <v>4</v>
      </c>
      <c r="G100" s="174">
        <v>4</v>
      </c>
      <c r="H100" s="174">
        <v>4</v>
      </c>
      <c r="I100" s="175">
        <v>7</v>
      </c>
      <c r="J100" s="155">
        <f>SUM(E100:I100)</f>
        <v>22</v>
      </c>
      <c r="K100" s="156"/>
    </row>
    <row r="101" spans="2:11">
      <c r="B101" s="40">
        <v>2</v>
      </c>
      <c r="C101" s="70">
        <v>-0.78353714555257403</v>
      </c>
      <c r="D101" s="173"/>
      <c r="E101" s="174">
        <v>1</v>
      </c>
      <c r="F101" s="174">
        <v>1</v>
      </c>
      <c r="G101" s="174">
        <v>1</v>
      </c>
      <c r="H101" s="174">
        <v>2</v>
      </c>
      <c r="I101" s="175">
        <v>5</v>
      </c>
      <c r="J101" s="155">
        <f t="shared" ref="J101:J107" si="4">SUM(E101:I101)</f>
        <v>10</v>
      </c>
      <c r="K101" s="156"/>
    </row>
    <row r="102" spans="2:11">
      <c r="B102" s="40">
        <v>3</v>
      </c>
      <c r="C102" s="70">
        <v>-0.43544444123520737</v>
      </c>
      <c r="D102" s="173"/>
      <c r="E102" s="174">
        <v>2</v>
      </c>
      <c r="F102" s="174">
        <v>3</v>
      </c>
      <c r="G102" s="174">
        <v>3</v>
      </c>
      <c r="H102" s="174">
        <v>3</v>
      </c>
      <c r="I102" s="175">
        <v>6</v>
      </c>
      <c r="J102" s="155">
        <f t="shared" si="4"/>
        <v>17</v>
      </c>
      <c r="K102" s="156"/>
    </row>
    <row r="103" spans="2:11">
      <c r="B103" s="40">
        <v>4</v>
      </c>
      <c r="C103" s="70">
        <v>-1.0882119919756303</v>
      </c>
      <c r="D103" s="173"/>
      <c r="E103" s="174">
        <v>1</v>
      </c>
      <c r="F103" s="174">
        <v>1</v>
      </c>
      <c r="G103" s="174">
        <v>1</v>
      </c>
      <c r="H103" s="174">
        <v>2</v>
      </c>
      <c r="I103" s="175">
        <v>4</v>
      </c>
      <c r="J103" s="155">
        <f t="shared" si="4"/>
        <v>9</v>
      </c>
      <c r="K103" s="156"/>
    </row>
    <row r="104" spans="2:11">
      <c r="B104" s="40">
        <v>5</v>
      </c>
      <c r="C104" s="70">
        <v>-0.7404410150121542</v>
      </c>
      <c r="D104" s="173"/>
      <c r="E104" s="174">
        <v>1</v>
      </c>
      <c r="F104" s="174">
        <v>1</v>
      </c>
      <c r="G104" s="174">
        <v>1</v>
      </c>
      <c r="H104" s="174">
        <v>2</v>
      </c>
      <c r="I104" s="175">
        <v>4</v>
      </c>
      <c r="J104" s="155">
        <f t="shared" si="4"/>
        <v>9</v>
      </c>
      <c r="K104" s="156"/>
    </row>
    <row r="105" spans="2:11">
      <c r="B105" s="40">
        <v>6</v>
      </c>
      <c r="C105" s="70">
        <v>-1.3986110328482559</v>
      </c>
      <c r="D105" s="173"/>
      <c r="E105" s="174">
        <v>1</v>
      </c>
      <c r="F105" s="174">
        <v>1</v>
      </c>
      <c r="G105" s="174">
        <v>1</v>
      </c>
      <c r="H105" s="174">
        <v>2</v>
      </c>
      <c r="I105" s="175">
        <v>4</v>
      </c>
      <c r="J105" s="155">
        <f t="shared" si="4"/>
        <v>9</v>
      </c>
      <c r="K105" s="156"/>
    </row>
    <row r="106" spans="2:11">
      <c r="B106" s="40">
        <v>7</v>
      </c>
      <c r="C106" s="70">
        <v>0.82967921911330411</v>
      </c>
      <c r="D106" s="173"/>
      <c r="E106" s="174">
        <v>3</v>
      </c>
      <c r="F106" s="174">
        <v>3</v>
      </c>
      <c r="G106" s="174">
        <v>3</v>
      </c>
      <c r="H106" s="174">
        <v>4</v>
      </c>
      <c r="I106" s="175">
        <v>6</v>
      </c>
      <c r="J106" s="155">
        <f t="shared" si="4"/>
        <v>19</v>
      </c>
      <c r="K106" s="156"/>
    </row>
    <row r="107" spans="2:11">
      <c r="B107" s="40">
        <v>8</v>
      </c>
      <c r="C107" s="70">
        <v>0.94529750965291159</v>
      </c>
      <c r="D107" s="167"/>
      <c r="E107" s="174">
        <v>3</v>
      </c>
      <c r="F107" s="174">
        <v>2</v>
      </c>
      <c r="G107" s="174">
        <v>4</v>
      </c>
      <c r="H107" s="174">
        <v>4</v>
      </c>
      <c r="I107" s="175">
        <v>6</v>
      </c>
      <c r="J107" s="155">
        <f t="shared" si="4"/>
        <v>19</v>
      </c>
      <c r="K107" s="156"/>
    </row>
    <row r="108" spans="2:11">
      <c r="B108" s="40">
        <v>9</v>
      </c>
      <c r="C108" s="70">
        <v>0.3658304633144327</v>
      </c>
      <c r="D108" s="167"/>
      <c r="E108" s="174">
        <v>2</v>
      </c>
      <c r="F108" s="174">
        <v>2</v>
      </c>
      <c r="G108" s="174">
        <v>3</v>
      </c>
      <c r="H108" s="174">
        <v>3</v>
      </c>
      <c r="I108" s="175">
        <v>6</v>
      </c>
      <c r="J108" s="155">
        <f>SUM(E108:I108)</f>
        <v>16</v>
      </c>
      <c r="K108" s="156"/>
    </row>
    <row r="109" spans="2:11">
      <c r="B109" s="40">
        <v>10</v>
      </c>
      <c r="C109" s="151">
        <v>-0.96566454690186465</v>
      </c>
      <c r="D109" s="176"/>
      <c r="E109" s="177">
        <v>0</v>
      </c>
      <c r="F109" s="177">
        <v>1</v>
      </c>
      <c r="G109" s="177">
        <v>1</v>
      </c>
      <c r="H109" s="177">
        <v>2</v>
      </c>
      <c r="I109" s="178">
        <v>3</v>
      </c>
      <c r="J109" s="157">
        <f>SUM(E109:I109)</f>
        <v>7</v>
      </c>
      <c r="K109" s="156"/>
    </row>
    <row r="110" spans="2:11">
      <c r="B110" s="160"/>
      <c r="C110" s="170"/>
      <c r="D110" s="171" t="s">
        <v>149</v>
      </c>
      <c r="E110" s="163">
        <f>SUM(E100:E109)</f>
        <v>17</v>
      </c>
      <c r="F110" s="163">
        <f>SUM(F100:F109)</f>
        <v>19</v>
      </c>
      <c r="G110" s="163">
        <f t="shared" ref="G110:H110" si="5">SUM(G100:G109)</f>
        <v>22</v>
      </c>
      <c r="H110" s="163">
        <f t="shared" si="5"/>
        <v>28</v>
      </c>
      <c r="I110" s="165">
        <f>SUM(I100:I109)</f>
        <v>51</v>
      </c>
      <c r="J110" s="155">
        <f>SUM(E110:I110)</f>
        <v>137</v>
      </c>
      <c r="K110" s="158" t="s">
        <v>150</v>
      </c>
    </row>
    <row r="111" spans="2:11">
      <c r="B111" s="156"/>
      <c r="C111" s="172"/>
      <c r="D111" s="171" t="s">
        <v>151</v>
      </c>
      <c r="E111" s="155">
        <f>AVERAGE(E100:E109)</f>
        <v>1.7</v>
      </c>
      <c r="F111" s="155">
        <f>AVERAGE(F100:F109)</f>
        <v>1.9</v>
      </c>
      <c r="G111" s="155">
        <f t="shared" ref="G111:H111" si="6">AVERAGE(G100:G109)</f>
        <v>2.2000000000000002</v>
      </c>
      <c r="H111" s="155">
        <f t="shared" si="6"/>
        <v>2.8</v>
      </c>
      <c r="I111" s="165">
        <f>AVERAGE(I100:I109)</f>
        <v>5.0999999999999996</v>
      </c>
      <c r="J111" s="159">
        <f>AVERAGE(E100:I109)</f>
        <v>2.74</v>
      </c>
      <c r="K111" s="158" t="s">
        <v>152</v>
      </c>
    </row>
    <row r="112" spans="2:11" ht="14">
      <c r="B112" s="43" t="s">
        <v>153</v>
      </c>
      <c r="C112" s="44"/>
      <c r="D112" s="44"/>
      <c r="E112" s="44"/>
      <c r="F112" s="44"/>
      <c r="G112" s="44"/>
      <c r="H112" s="44"/>
      <c r="I112" s="44"/>
      <c r="J112" s="44"/>
      <c r="K112" s="45"/>
    </row>
    <row r="113" spans="2:11">
      <c r="B113" s="46" t="s">
        <v>154</v>
      </c>
      <c r="C113" s="46">
        <f>SUMSQ(E100:I109)-J110^2/G91</f>
        <v>135.62</v>
      </c>
      <c r="D113" s="44"/>
      <c r="E113" s="44"/>
      <c r="F113" s="44"/>
      <c r="G113" s="44"/>
      <c r="H113" s="44"/>
      <c r="I113" s="44"/>
      <c r="J113" s="44"/>
      <c r="K113" s="45"/>
    </row>
    <row r="114" spans="2:11" ht="60" customHeight="1">
      <c r="B114" s="47" t="s">
        <v>97</v>
      </c>
      <c r="C114" s="44">
        <f>SUMSQ(E110:I110)/G92-J110^2/G91</f>
        <v>76.519999999999982</v>
      </c>
      <c r="D114" s="44"/>
      <c r="E114" s="44"/>
      <c r="F114" s="44"/>
      <c r="G114" s="44"/>
      <c r="H114" s="44"/>
      <c r="I114" s="44"/>
      <c r="J114" s="44"/>
      <c r="K114" s="45"/>
    </row>
    <row r="115" spans="2:11">
      <c r="B115" s="47" t="s">
        <v>98</v>
      </c>
      <c r="C115" s="44">
        <f>SUMSQ(J100:J109)/G93-J110^2/G91</f>
        <v>53.220000000000027</v>
      </c>
      <c r="D115" s="44"/>
      <c r="E115" s="44"/>
      <c r="F115" s="44"/>
      <c r="G115" s="44"/>
      <c r="H115" s="44"/>
      <c r="I115" s="44"/>
      <c r="J115" s="44"/>
      <c r="K115" s="45"/>
    </row>
    <row r="116" spans="2:11">
      <c r="B116" s="47" t="s">
        <v>99</v>
      </c>
      <c r="C116" s="44">
        <f>C113-(C114+C115)</f>
        <v>5.8799999999999955</v>
      </c>
      <c r="D116" s="44"/>
      <c r="E116" s="44"/>
      <c r="F116" s="44"/>
      <c r="G116" s="44"/>
      <c r="H116" s="44"/>
      <c r="I116" s="44"/>
      <c r="J116" s="44"/>
      <c r="K116" s="45"/>
    </row>
    <row r="117" spans="2:11">
      <c r="B117" s="46" t="s">
        <v>100</v>
      </c>
      <c r="C117" s="46">
        <v>0</v>
      </c>
      <c r="D117" s="44"/>
      <c r="E117" s="44"/>
      <c r="F117" s="44"/>
      <c r="G117" s="44"/>
      <c r="H117" s="44"/>
      <c r="I117" s="44"/>
      <c r="J117" s="44"/>
      <c r="K117" s="45"/>
    </row>
    <row r="118" spans="2:11">
      <c r="B118" s="48" t="s">
        <v>101</v>
      </c>
      <c r="C118" s="48">
        <f>C113+C117</f>
        <v>135.62</v>
      </c>
      <c r="D118" s="49" t="s">
        <v>102</v>
      </c>
      <c r="E118" s="44"/>
      <c r="F118" s="44"/>
      <c r="G118" s="44"/>
      <c r="H118" s="44"/>
      <c r="I118" s="44"/>
      <c r="J118" s="44"/>
      <c r="K118" s="45"/>
    </row>
    <row r="119" spans="2:11">
      <c r="B119" s="44"/>
      <c r="C119" s="44"/>
      <c r="D119" s="44"/>
      <c r="E119" s="44"/>
      <c r="F119" s="44"/>
      <c r="G119" s="44"/>
      <c r="H119" s="44"/>
      <c r="I119" s="44"/>
      <c r="J119" s="44"/>
      <c r="K119" s="45"/>
    </row>
    <row r="120" spans="2:11" ht="14">
      <c r="B120" s="50" t="s">
        <v>103</v>
      </c>
      <c r="C120" s="51" t="s">
        <v>104</v>
      </c>
      <c r="D120" s="51" t="s">
        <v>105</v>
      </c>
      <c r="E120" s="51" t="s">
        <v>106</v>
      </c>
      <c r="F120" s="52" t="s">
        <v>107</v>
      </c>
      <c r="G120" s="52" t="s">
        <v>108</v>
      </c>
      <c r="H120" s="52"/>
      <c r="I120" s="44"/>
      <c r="J120" s="45"/>
      <c r="K120" s="45"/>
    </row>
    <row r="121" spans="2:11">
      <c r="B121" s="53" t="s">
        <v>109</v>
      </c>
      <c r="C121" s="54">
        <f>C113</f>
        <v>135.62</v>
      </c>
      <c r="D121" s="1">
        <f>E92*E93-1</f>
        <v>49</v>
      </c>
      <c r="E121" s="45"/>
      <c r="F121" s="11"/>
      <c r="G121" s="71"/>
      <c r="H121" s="10"/>
      <c r="I121" s="44"/>
      <c r="J121" s="45"/>
      <c r="K121" s="45"/>
    </row>
    <row r="122" spans="2:11">
      <c r="B122" s="55" t="s">
        <v>110</v>
      </c>
      <c r="C122" s="55">
        <f>C114</f>
        <v>76.519999999999982</v>
      </c>
      <c r="D122" s="6">
        <f>G93-1</f>
        <v>4</v>
      </c>
      <c r="E122" s="45">
        <f>C122/D122</f>
        <v>19.129999999999995</v>
      </c>
      <c r="F122" s="71">
        <f>E122/E124</f>
        <v>117.12244897959189</v>
      </c>
      <c r="G122" s="71">
        <f>FINV(E95,D122,D124)</f>
        <v>2.6335320942137543</v>
      </c>
      <c r="H122" s="56"/>
      <c r="I122" s="44"/>
      <c r="J122" s="45"/>
      <c r="K122" s="45"/>
    </row>
    <row r="123" spans="2:11">
      <c r="B123" s="55" t="s">
        <v>111</v>
      </c>
      <c r="C123" s="55">
        <f>C115</f>
        <v>53.220000000000027</v>
      </c>
      <c r="D123" s="6">
        <f>G92-1</f>
        <v>9</v>
      </c>
      <c r="E123" s="45">
        <f>C123/D123</f>
        <v>5.9133333333333367</v>
      </c>
      <c r="F123" s="45"/>
      <c r="G123" s="45"/>
      <c r="H123" s="45"/>
      <c r="I123" s="44"/>
      <c r="J123" s="45"/>
      <c r="K123" s="45"/>
    </row>
    <row r="124" spans="2:11">
      <c r="B124" s="55" t="s">
        <v>112</v>
      </c>
      <c r="C124" s="55">
        <f>C121-(C122+C123)</f>
        <v>5.8799999999999955</v>
      </c>
      <c r="D124" s="6">
        <f>D122*D123</f>
        <v>36</v>
      </c>
      <c r="E124" s="45">
        <f>C124/D124</f>
        <v>0.16333333333333322</v>
      </c>
      <c r="F124" s="45"/>
      <c r="G124" s="45"/>
      <c r="H124" s="45"/>
      <c r="I124" s="45"/>
      <c r="J124" s="45"/>
      <c r="K124" s="45"/>
    </row>
    <row r="125" spans="2:11">
      <c r="B125" s="44"/>
      <c r="C125" s="44"/>
      <c r="D125" s="44"/>
      <c r="E125" s="44"/>
      <c r="F125" s="45"/>
      <c r="G125" s="45"/>
      <c r="H125" s="45"/>
      <c r="I125" s="45"/>
      <c r="J125" s="45"/>
      <c r="K125" s="45"/>
    </row>
    <row r="126" spans="2:11">
      <c r="B126" s="57" t="s">
        <v>113</v>
      </c>
      <c r="C126" s="55"/>
      <c r="D126" s="6"/>
      <c r="E126" s="45"/>
      <c r="F126" s="45"/>
      <c r="G126" s="45"/>
      <c r="H126" s="45"/>
      <c r="I126" s="45"/>
      <c r="J126" s="45"/>
      <c r="K126" s="45"/>
    </row>
    <row r="127" spans="2:11">
      <c r="B127" s="72" t="s">
        <v>114</v>
      </c>
      <c r="C127" s="53"/>
      <c r="D127" s="72" t="s">
        <v>115</v>
      </c>
      <c r="E127" s="53"/>
      <c r="F127" s="45"/>
      <c r="G127" s="45"/>
      <c r="H127" s="45"/>
      <c r="I127" s="45"/>
      <c r="J127" s="45"/>
      <c r="K127" s="45"/>
    </row>
    <row r="128" spans="2:11" ht="15">
      <c r="B128" s="55" t="s">
        <v>39</v>
      </c>
      <c r="C128" s="57">
        <f>E124</f>
        <v>0.16333333333333322</v>
      </c>
      <c r="D128" s="55" t="s">
        <v>39</v>
      </c>
      <c r="E128" s="48">
        <f>(C123+C124)/(D123+D124)</f>
        <v>1.3133333333333339</v>
      </c>
      <c r="F128" s="45"/>
      <c r="G128" s="45"/>
      <c r="H128" s="45"/>
      <c r="I128" s="45"/>
      <c r="J128" s="45"/>
      <c r="K128" s="45"/>
    </row>
    <row r="129" spans="1:11">
      <c r="B129" s="55" t="s">
        <v>118</v>
      </c>
      <c r="C129" s="48">
        <f>SQRT(C128/G92)</f>
        <v>0.12780193008453872</v>
      </c>
      <c r="D129" s="55" t="s">
        <v>118</v>
      </c>
      <c r="E129" s="48">
        <f>SQRT(E128/G92)</f>
        <v>0.36239941133138365</v>
      </c>
      <c r="F129" s="45"/>
      <c r="G129" s="45"/>
      <c r="H129" s="45"/>
      <c r="I129" s="45"/>
      <c r="J129" s="45"/>
      <c r="K129" s="45"/>
    </row>
    <row r="130" spans="1:11" ht="14" thickBot="1">
      <c r="B130" s="55" t="s">
        <v>40</v>
      </c>
      <c r="C130" s="48">
        <f>TINV(1-G95,D124)</f>
        <v>2.0280940009804502</v>
      </c>
      <c r="D130" s="55" t="s">
        <v>40</v>
      </c>
      <c r="E130" s="48">
        <f>TINV(1-G95,D123+D124)</f>
        <v>2.0141033888808457</v>
      </c>
      <c r="F130" s="45"/>
      <c r="G130" s="45"/>
      <c r="H130" s="45"/>
      <c r="I130" s="45"/>
      <c r="J130" s="45"/>
      <c r="K130" s="45"/>
    </row>
    <row r="131" spans="1:11" ht="14" thickBot="1">
      <c r="B131" s="55" t="s">
        <v>211</v>
      </c>
      <c r="C131" s="48">
        <f>C129*C130</f>
        <v>0.25919432771817591</v>
      </c>
      <c r="D131" s="55" t="s">
        <v>211</v>
      </c>
      <c r="E131" s="48">
        <f>E129*E130</f>
        <v>0.72990988249096334</v>
      </c>
      <c r="F131" s="60"/>
      <c r="G131" s="60"/>
      <c r="H131" s="60"/>
      <c r="I131" s="55"/>
      <c r="J131" s="10"/>
      <c r="K131" s="61"/>
    </row>
    <row r="132" spans="1:11" ht="14">
      <c r="A132" s="18"/>
      <c r="B132" s="10"/>
      <c r="C132" s="10"/>
      <c r="D132" s="55"/>
      <c r="E132" s="55"/>
      <c r="F132" s="55"/>
      <c r="G132" s="55"/>
      <c r="H132" s="55"/>
      <c r="I132" s="55"/>
      <c r="J132" s="2"/>
      <c r="K132" s="53"/>
    </row>
    <row r="133" spans="1:11" ht="14">
      <c r="D133" s="79"/>
      <c r="E133" s="74"/>
      <c r="F133" s="74"/>
      <c r="G133" s="65"/>
      <c r="J133" s="80"/>
    </row>
    <row r="134" spans="1:11">
      <c r="B134" s="77"/>
      <c r="C134" s="77"/>
      <c r="D134" s="73"/>
      <c r="E134" s="14"/>
      <c r="F134" s="14"/>
      <c r="G134" s="65"/>
      <c r="J134" s="81"/>
    </row>
    <row r="135" spans="1:11" ht="14">
      <c r="A135" s="18" t="s">
        <v>117</v>
      </c>
      <c r="B135" s="19"/>
      <c r="C135" s="19"/>
      <c r="D135" s="20" t="s">
        <v>43</v>
      </c>
      <c r="E135" s="3">
        <v>3</v>
      </c>
      <c r="F135" s="20" t="s">
        <v>44</v>
      </c>
      <c r="G135" s="3">
        <f>E135*E136*E137</f>
        <v>60</v>
      </c>
      <c r="H135" s="20"/>
      <c r="I135" s="21"/>
      <c r="J135" s="21"/>
    </row>
    <row r="136" spans="1:11" ht="15">
      <c r="B136" s="25"/>
      <c r="C136" s="25"/>
      <c r="D136" s="20" t="s">
        <v>45</v>
      </c>
      <c r="E136" s="3">
        <v>4</v>
      </c>
      <c r="F136" s="20" t="s">
        <v>130</v>
      </c>
      <c r="G136" s="3">
        <f>E135*E137</f>
        <v>15</v>
      </c>
      <c r="H136" s="20"/>
      <c r="I136" s="21"/>
      <c r="J136" s="21"/>
    </row>
    <row r="137" spans="1:11" ht="15">
      <c r="B137" s="26"/>
      <c r="C137" s="26"/>
      <c r="D137" s="27" t="s">
        <v>139</v>
      </c>
      <c r="E137" s="9">
        <v>5</v>
      </c>
      <c r="F137" s="27" t="s">
        <v>131</v>
      </c>
      <c r="G137" s="9">
        <f>E135*E136</f>
        <v>12</v>
      </c>
      <c r="H137" s="27"/>
      <c r="I137" s="21"/>
      <c r="J137" s="22"/>
    </row>
    <row r="138" spans="1:11">
      <c r="B138" s="26"/>
      <c r="C138" s="26"/>
      <c r="D138" s="27"/>
      <c r="E138" s="9"/>
      <c r="F138" s="27"/>
      <c r="G138" s="27"/>
      <c r="H138" s="27"/>
      <c r="I138" s="21"/>
      <c r="J138" s="22"/>
    </row>
    <row r="139" spans="1:11">
      <c r="B139" s="26"/>
      <c r="C139" s="26"/>
      <c r="D139" s="28" t="s">
        <v>141</v>
      </c>
      <c r="E139" s="29">
        <v>0.05</v>
      </c>
      <c r="F139" s="27" t="s">
        <v>142</v>
      </c>
      <c r="G139" s="30">
        <v>0.95</v>
      </c>
      <c r="H139" s="27"/>
      <c r="I139" s="21"/>
      <c r="J139" s="22"/>
    </row>
    <row r="140" spans="1:11">
      <c r="B140" s="147" t="s">
        <v>132</v>
      </c>
      <c r="C140" s="147"/>
      <c r="D140" s="31"/>
      <c r="E140" s="83"/>
      <c r="F140" s="31" t="s">
        <v>133</v>
      </c>
      <c r="G140" s="32">
        <v>2</v>
      </c>
      <c r="H140" s="41"/>
      <c r="I140" s="84"/>
      <c r="J140" s="85"/>
    </row>
    <row r="141" spans="1:11" ht="15">
      <c r="B141" s="148" t="s">
        <v>134</v>
      </c>
      <c r="C141" s="83">
        <v>0.5</v>
      </c>
      <c r="D141" s="31"/>
      <c r="E141" s="319" t="s">
        <v>135</v>
      </c>
      <c r="F141" s="319"/>
      <c r="G141" s="319"/>
      <c r="H141" s="319"/>
      <c r="I141" s="84"/>
      <c r="J141" s="85"/>
    </row>
    <row r="142" spans="1:11" ht="15">
      <c r="B142" s="148" t="s">
        <v>215</v>
      </c>
      <c r="C142" s="83">
        <v>1</v>
      </c>
      <c r="D142" s="86"/>
      <c r="E142" s="87" t="s">
        <v>216</v>
      </c>
      <c r="F142" s="87" t="s">
        <v>217</v>
      </c>
      <c r="G142" s="87" t="s">
        <v>218</v>
      </c>
      <c r="H142" s="87" t="s">
        <v>89</v>
      </c>
      <c r="I142" s="84"/>
      <c r="J142" s="85"/>
    </row>
    <row r="143" spans="1:11" ht="15">
      <c r="B143" s="148" t="s">
        <v>25</v>
      </c>
      <c r="C143" s="83">
        <v>0.5</v>
      </c>
      <c r="D143" s="88" t="s">
        <v>26</v>
      </c>
      <c r="E143" s="89">
        <v>-0.56915844212629652</v>
      </c>
      <c r="F143" s="89">
        <v>0.11732165944271661</v>
      </c>
      <c r="G143" s="89">
        <v>0.42475351633493996</v>
      </c>
      <c r="H143" s="89">
        <v>-0.17761709245959928</v>
      </c>
      <c r="I143" s="84"/>
      <c r="J143" s="85"/>
    </row>
    <row r="144" spans="1:11">
      <c r="B144" s="33"/>
      <c r="C144" s="33"/>
      <c r="D144" s="88" t="s">
        <v>27</v>
      </c>
      <c r="E144" s="89">
        <v>0.46826857720451553</v>
      </c>
      <c r="F144" s="89">
        <v>-0.30164728554422371</v>
      </c>
      <c r="G144" s="89">
        <v>0.42064460570177509</v>
      </c>
      <c r="H144" s="89">
        <v>0.1198767950262104</v>
      </c>
      <c r="I144" s="84"/>
      <c r="J144" s="85"/>
    </row>
    <row r="145" spans="2:12">
      <c r="B145" s="33"/>
      <c r="C145" s="33"/>
      <c r="D145" s="88" t="s">
        <v>124</v>
      </c>
      <c r="E145" s="89">
        <v>1.3256895846097123</v>
      </c>
      <c r="F145" s="89">
        <v>-6.0739130327774019E-2</v>
      </c>
      <c r="G145" s="89">
        <v>0.48322274634787543</v>
      </c>
      <c r="H145" s="89">
        <v>1.4564580513008296E-2</v>
      </c>
      <c r="I145" s="84"/>
      <c r="J145" s="85"/>
    </row>
    <row r="146" spans="2:12">
      <c r="B146" s="32"/>
      <c r="C146" s="32"/>
      <c r="D146" s="70" t="s">
        <v>90</v>
      </c>
      <c r="E146" s="89">
        <v>0.22202467665334114</v>
      </c>
      <c r="F146" s="89">
        <v>0.77609982333124794</v>
      </c>
      <c r="G146" s="89">
        <v>-0.94241989007272742</v>
      </c>
      <c r="H146" s="89">
        <v>-0.62614707931267533</v>
      </c>
      <c r="I146" s="34"/>
      <c r="J146" s="85"/>
    </row>
    <row r="147" spans="2:12">
      <c r="B147" s="32"/>
      <c r="C147" s="32"/>
      <c r="D147" s="70" t="s">
        <v>91</v>
      </c>
      <c r="E147" s="89">
        <v>0.2561385699715647</v>
      </c>
      <c r="F147" s="89">
        <v>0.52055240183314266</v>
      </c>
      <c r="G147" s="89">
        <v>0.36515600230938183</v>
      </c>
      <c r="H147" s="89">
        <v>0.3844202532933888</v>
      </c>
      <c r="I147" s="34"/>
      <c r="J147" s="85"/>
    </row>
    <row r="148" spans="2:12">
      <c r="B148" s="32"/>
      <c r="C148" s="32"/>
      <c r="D148" s="90"/>
      <c r="E148" s="148"/>
      <c r="F148" s="32"/>
      <c r="G148" s="148"/>
      <c r="H148" s="32"/>
      <c r="I148" s="34"/>
      <c r="J148" s="85"/>
    </row>
    <row r="149" spans="2:12">
      <c r="B149" s="33"/>
      <c r="C149" s="31"/>
      <c r="D149" s="41"/>
      <c r="E149" s="319" t="s">
        <v>92</v>
      </c>
      <c r="F149" s="319"/>
      <c r="G149" s="319"/>
      <c r="H149" s="319"/>
      <c r="I149" s="34"/>
      <c r="J149" s="85"/>
    </row>
    <row r="150" spans="2:12">
      <c r="B150" s="33"/>
      <c r="C150" s="31"/>
      <c r="D150" s="91"/>
      <c r="E150" s="7" t="s">
        <v>121</v>
      </c>
      <c r="F150" s="7" t="s">
        <v>136</v>
      </c>
      <c r="G150" s="7" t="s">
        <v>119</v>
      </c>
      <c r="H150" s="7" t="s">
        <v>120</v>
      </c>
      <c r="I150" s="34"/>
      <c r="J150" s="85"/>
    </row>
    <row r="151" spans="2:12" ht="15">
      <c r="B151" s="33"/>
      <c r="C151" s="32"/>
      <c r="D151" s="70" t="s">
        <v>30</v>
      </c>
      <c r="E151" s="92">
        <v>1</v>
      </c>
      <c r="F151" s="92">
        <v>0.5</v>
      </c>
      <c r="G151" s="92">
        <v>-1</v>
      </c>
      <c r="H151" s="92">
        <v>-0.5</v>
      </c>
      <c r="I151" s="34"/>
      <c r="J151" s="85"/>
    </row>
    <row r="152" spans="2:12" ht="16" thickBot="1">
      <c r="B152" s="33"/>
      <c r="C152" s="32"/>
      <c r="D152" s="70" t="s">
        <v>31</v>
      </c>
      <c r="E152" s="92">
        <v>3</v>
      </c>
      <c r="F152" s="92">
        <v>2.5</v>
      </c>
      <c r="G152" s="92">
        <v>1</v>
      </c>
      <c r="H152" s="92">
        <v>1.5</v>
      </c>
      <c r="I152" s="34"/>
      <c r="J152" s="85"/>
    </row>
    <row r="153" spans="2:12" ht="16" thickBot="1">
      <c r="B153" s="33"/>
      <c r="C153" s="93" t="s">
        <v>93</v>
      </c>
      <c r="D153" s="94" t="s">
        <v>32</v>
      </c>
      <c r="E153" s="95"/>
      <c r="F153" s="95"/>
      <c r="G153" s="95"/>
      <c r="H153" s="96"/>
      <c r="I153" s="189" t="s">
        <v>94</v>
      </c>
      <c r="J153" s="189" t="s">
        <v>95</v>
      </c>
      <c r="L153" s="97"/>
    </row>
    <row r="154" spans="2:12">
      <c r="B154" s="33"/>
      <c r="C154" s="33"/>
      <c r="D154" s="98"/>
      <c r="E154" s="174">
        <v>3</v>
      </c>
      <c r="F154" s="174">
        <v>2</v>
      </c>
      <c r="G154" s="174">
        <v>1</v>
      </c>
      <c r="H154" s="183">
        <v>2</v>
      </c>
      <c r="I154" s="314"/>
      <c r="J154" s="156"/>
    </row>
    <row r="155" spans="2:12">
      <c r="B155" s="33"/>
      <c r="C155" s="7" t="s">
        <v>26</v>
      </c>
      <c r="D155" s="99">
        <v>1.9886918744227291</v>
      </c>
      <c r="E155" s="174">
        <v>3</v>
      </c>
      <c r="F155" s="174">
        <v>1</v>
      </c>
      <c r="G155" s="174">
        <v>1</v>
      </c>
      <c r="H155" s="183">
        <v>3</v>
      </c>
      <c r="I155" s="314"/>
      <c r="J155" s="159"/>
    </row>
    <row r="156" spans="2:12">
      <c r="B156" s="33"/>
      <c r="C156" s="7"/>
      <c r="D156" s="100"/>
      <c r="E156" s="177">
        <v>3</v>
      </c>
      <c r="F156" s="177">
        <v>2</v>
      </c>
      <c r="G156" s="177">
        <v>2</v>
      </c>
      <c r="H156" s="185">
        <v>3</v>
      </c>
      <c r="I156" s="314"/>
      <c r="J156" s="156"/>
    </row>
    <row r="157" spans="2:12" ht="15">
      <c r="B157" s="33"/>
      <c r="C157" s="87"/>
      <c r="D157" s="190" t="s">
        <v>46</v>
      </c>
      <c r="E157" s="184">
        <f>SUM(E154:E156)</f>
        <v>9</v>
      </c>
      <c r="F157" s="177">
        <f t="shared" ref="F157:G157" si="7">SUM(F154:F156)</f>
        <v>5</v>
      </c>
      <c r="G157" s="177">
        <f t="shared" si="7"/>
        <v>4</v>
      </c>
      <c r="H157" s="185">
        <f>SUM(H154:H156)</f>
        <v>8</v>
      </c>
      <c r="I157" s="186">
        <f>SUM(E157:H157)</f>
        <v>26</v>
      </c>
      <c r="J157" s="187">
        <f>AVERAGE(E154:H156)</f>
        <v>2.1666666666666665</v>
      </c>
    </row>
    <row r="158" spans="2:12">
      <c r="B158" s="33"/>
      <c r="C158" s="33"/>
      <c r="D158" s="98"/>
      <c r="E158" s="174">
        <v>3</v>
      </c>
      <c r="F158" s="174">
        <v>3</v>
      </c>
      <c r="G158" s="174">
        <v>1</v>
      </c>
      <c r="H158" s="183">
        <v>2</v>
      </c>
      <c r="I158" s="314"/>
      <c r="J158" s="156"/>
    </row>
    <row r="159" spans="2:12">
      <c r="B159" s="33"/>
      <c r="C159" s="7" t="s">
        <v>20</v>
      </c>
      <c r="D159" s="99">
        <v>-0.23310126233119938</v>
      </c>
      <c r="E159" s="174">
        <v>3</v>
      </c>
      <c r="F159" s="174">
        <v>4</v>
      </c>
      <c r="G159" s="174">
        <v>2</v>
      </c>
      <c r="H159" s="183">
        <v>2</v>
      </c>
      <c r="I159" s="314"/>
      <c r="J159" s="159"/>
    </row>
    <row r="160" spans="2:12">
      <c r="B160" s="33"/>
      <c r="C160" s="7"/>
      <c r="D160" s="100"/>
      <c r="E160" s="177">
        <v>4</v>
      </c>
      <c r="F160" s="177">
        <v>3</v>
      </c>
      <c r="G160" s="177">
        <v>1</v>
      </c>
      <c r="H160" s="185">
        <v>1</v>
      </c>
      <c r="I160" s="314"/>
      <c r="J160" s="156"/>
    </row>
    <row r="161" spans="2:10" ht="15">
      <c r="B161" s="33"/>
      <c r="C161" s="87"/>
      <c r="D161" s="190" t="s">
        <v>47</v>
      </c>
      <c r="E161" s="184">
        <f>SUM(E158:E160)</f>
        <v>10</v>
      </c>
      <c r="F161" s="177">
        <f t="shared" ref="F161:G161" si="8">SUM(F158:F160)</f>
        <v>10</v>
      </c>
      <c r="G161" s="177">
        <f t="shared" si="8"/>
        <v>4</v>
      </c>
      <c r="H161" s="185">
        <f>SUM(H158:H160)</f>
        <v>5</v>
      </c>
      <c r="I161" s="186">
        <f>SUM(E161:H161)</f>
        <v>29</v>
      </c>
      <c r="J161" s="187">
        <f>AVERAGE(E158:H160)</f>
        <v>2.4166666666666665</v>
      </c>
    </row>
    <row r="162" spans="2:10">
      <c r="B162" s="33"/>
      <c r="C162" s="33"/>
      <c r="D162" s="98"/>
      <c r="E162" s="182">
        <v>1</v>
      </c>
      <c r="F162" s="174">
        <v>1</v>
      </c>
      <c r="G162" s="174">
        <v>1</v>
      </c>
      <c r="H162" s="183">
        <v>4</v>
      </c>
      <c r="I162" s="314"/>
      <c r="J162" s="156"/>
    </row>
    <row r="163" spans="2:10">
      <c r="B163" s="33"/>
      <c r="C163" s="7" t="s">
        <v>124</v>
      </c>
      <c r="D163" s="99">
        <v>0.71001297630233662</v>
      </c>
      <c r="E163" s="182">
        <v>1</v>
      </c>
      <c r="F163" s="174">
        <v>2</v>
      </c>
      <c r="G163" s="174">
        <v>2</v>
      </c>
      <c r="H163" s="183">
        <v>4</v>
      </c>
      <c r="I163" s="314"/>
      <c r="J163" s="159"/>
    </row>
    <row r="164" spans="2:10">
      <c r="B164" s="33"/>
      <c r="C164" s="7"/>
      <c r="D164" s="100"/>
      <c r="E164" s="184">
        <v>1</v>
      </c>
      <c r="F164" s="177">
        <v>1</v>
      </c>
      <c r="G164" s="177">
        <v>1</v>
      </c>
      <c r="H164" s="185">
        <v>5</v>
      </c>
      <c r="I164" s="314"/>
      <c r="J164" s="156"/>
    </row>
    <row r="165" spans="2:10" ht="15">
      <c r="B165" s="33"/>
      <c r="C165" s="87"/>
      <c r="D165" s="190" t="s">
        <v>48</v>
      </c>
      <c r="E165" s="184">
        <f>SUM(E162:E164)</f>
        <v>3</v>
      </c>
      <c r="F165" s="177">
        <f t="shared" ref="F165:G165" si="9">SUM(F162:F164)</f>
        <v>4</v>
      </c>
      <c r="G165" s="177">
        <f t="shared" si="9"/>
        <v>4</v>
      </c>
      <c r="H165" s="185">
        <f>SUM(H162:H164)</f>
        <v>13</v>
      </c>
      <c r="I165" s="186">
        <f>SUM(E165:H165)</f>
        <v>24</v>
      </c>
      <c r="J165" s="187">
        <f>AVERAGE(E162:H164)</f>
        <v>2</v>
      </c>
    </row>
    <row r="166" spans="2:10">
      <c r="B166" s="33"/>
      <c r="C166" s="33"/>
      <c r="D166" s="98"/>
      <c r="E166" s="182">
        <v>2</v>
      </c>
      <c r="F166" s="174">
        <v>2</v>
      </c>
      <c r="G166" s="174">
        <v>3</v>
      </c>
      <c r="H166" s="183">
        <v>5</v>
      </c>
      <c r="I166" s="314"/>
      <c r="J166" s="156"/>
    </row>
    <row r="167" spans="2:10">
      <c r="B167" s="33"/>
      <c r="C167" s="7" t="s">
        <v>49</v>
      </c>
      <c r="D167" s="99">
        <v>-0.34095921582979627</v>
      </c>
      <c r="E167" s="182">
        <v>3</v>
      </c>
      <c r="F167" s="174">
        <v>2</v>
      </c>
      <c r="G167" s="174">
        <v>3</v>
      </c>
      <c r="H167" s="183">
        <v>5</v>
      </c>
      <c r="I167" s="314"/>
      <c r="J167" s="159"/>
    </row>
    <row r="168" spans="2:10">
      <c r="B168" s="33"/>
      <c r="C168" s="7"/>
      <c r="D168" s="100"/>
      <c r="E168" s="184">
        <v>3</v>
      </c>
      <c r="F168" s="177">
        <v>2</v>
      </c>
      <c r="G168" s="177">
        <v>3</v>
      </c>
      <c r="H168" s="185">
        <v>5</v>
      </c>
      <c r="I168" s="314"/>
      <c r="J168" s="156"/>
    </row>
    <row r="169" spans="2:10" ht="15">
      <c r="B169" s="33"/>
      <c r="C169" s="87"/>
      <c r="D169" s="190" t="s">
        <v>50</v>
      </c>
      <c r="E169" s="184">
        <f>SUM(E166:E168)</f>
        <v>8</v>
      </c>
      <c r="F169" s="177">
        <f t="shared" ref="F169:G169" si="10">SUM(F166:F168)</f>
        <v>6</v>
      </c>
      <c r="G169" s="177">
        <f t="shared" si="10"/>
        <v>9</v>
      </c>
      <c r="H169" s="185">
        <f>SUM(H166:H168)</f>
        <v>15</v>
      </c>
      <c r="I169" s="186">
        <f>SUM(E169:H169)</f>
        <v>38</v>
      </c>
      <c r="J169" s="187">
        <f>AVERAGE(E166:H168)</f>
        <v>3.1666666666666665</v>
      </c>
    </row>
    <row r="170" spans="2:10">
      <c r="B170" s="33"/>
      <c r="C170" s="33"/>
      <c r="D170" s="98"/>
      <c r="E170" s="182">
        <v>1</v>
      </c>
      <c r="F170" s="174">
        <v>0</v>
      </c>
      <c r="G170" s="174">
        <v>1</v>
      </c>
      <c r="H170" s="183">
        <v>2</v>
      </c>
      <c r="I170" s="314"/>
      <c r="J170" s="156"/>
    </row>
    <row r="171" spans="2:10">
      <c r="B171" s="33"/>
      <c r="C171" s="7" t="s">
        <v>91</v>
      </c>
      <c r="D171" s="99">
        <v>-5.534518327294756E-3</v>
      </c>
      <c r="E171" s="182">
        <v>1</v>
      </c>
      <c r="F171" s="174">
        <v>0</v>
      </c>
      <c r="G171" s="174">
        <v>2</v>
      </c>
      <c r="H171" s="183">
        <v>4</v>
      </c>
      <c r="I171" s="314"/>
      <c r="J171" s="159"/>
    </row>
    <row r="172" spans="2:10">
      <c r="B172" s="33"/>
      <c r="C172" s="7"/>
      <c r="D172" s="100"/>
      <c r="E172" s="184">
        <v>1</v>
      </c>
      <c r="F172" s="177">
        <v>0</v>
      </c>
      <c r="G172" s="177">
        <v>1</v>
      </c>
      <c r="H172" s="185">
        <v>3</v>
      </c>
      <c r="I172" s="314"/>
      <c r="J172" s="156"/>
    </row>
    <row r="173" spans="2:10" ht="16" thickBot="1">
      <c r="B173" s="33"/>
      <c r="C173" s="101"/>
      <c r="D173" s="191" t="s">
        <v>23</v>
      </c>
      <c r="E173" s="177">
        <f>SUM(E170:E172)</f>
        <v>3</v>
      </c>
      <c r="F173" s="177">
        <f>SUM(F170:F172)</f>
        <v>0</v>
      </c>
      <c r="G173" s="177">
        <f>SUM(G170:G172)</f>
        <v>4</v>
      </c>
      <c r="H173" s="185">
        <f>SUM(H170:H172)</f>
        <v>9</v>
      </c>
      <c r="I173" s="186">
        <f>SUM(E173:H173)</f>
        <v>16</v>
      </c>
      <c r="J173" s="187">
        <f>AVERAGE(E170:H172)</f>
        <v>1.3333333333333333</v>
      </c>
    </row>
    <row r="174" spans="2:10">
      <c r="B174" s="40"/>
      <c r="C174" s="102"/>
      <c r="D174" s="192" t="s">
        <v>149</v>
      </c>
      <c r="E174" s="163">
        <f>SUM(E157,E161,E165,E169,E173)</f>
        <v>33</v>
      </c>
      <c r="F174" s="163">
        <f>SUM(F157,F161,F165,F169,F173)</f>
        <v>25</v>
      </c>
      <c r="G174" s="163">
        <f>SUM(G157,G161,G165,G169,G173)</f>
        <v>25</v>
      </c>
      <c r="H174" s="188">
        <f>SUM(H157,H161,H165,H169,H173)</f>
        <v>50</v>
      </c>
      <c r="I174" s="155">
        <f>SUM(E174:H174)</f>
        <v>133</v>
      </c>
      <c r="J174" s="158" t="s">
        <v>150</v>
      </c>
    </row>
    <row r="175" spans="2:10">
      <c r="B175" s="33"/>
      <c r="C175" s="34"/>
      <c r="D175" s="192" t="s">
        <v>151</v>
      </c>
      <c r="E175" s="155">
        <f t="array" ref="E175">E174/$G$136</f>
        <v>2.2000000000000002</v>
      </c>
      <c r="F175" s="155">
        <f t="array" ref="F175">F174/$G$136</f>
        <v>1.6666666666666667</v>
      </c>
      <c r="G175" s="155">
        <f t="array" ref="G175">G174/$G$136</f>
        <v>1.6666666666666667</v>
      </c>
      <c r="H175" s="155">
        <f t="array" ref="H175">H174/$G$136</f>
        <v>3.3333333333333335</v>
      </c>
      <c r="I175" s="159">
        <f>AVERAGE(E175:H175)</f>
        <v>2.2166666666666668</v>
      </c>
      <c r="J175" s="158" t="s">
        <v>152</v>
      </c>
    </row>
    <row r="176" spans="2:10" ht="14">
      <c r="B176" s="50" t="s">
        <v>103</v>
      </c>
      <c r="C176" s="51" t="s">
        <v>104</v>
      </c>
      <c r="D176" s="51" t="s">
        <v>105</v>
      </c>
      <c r="E176" s="51" t="s">
        <v>106</v>
      </c>
      <c r="F176" s="52" t="s">
        <v>24</v>
      </c>
      <c r="G176" s="52" t="s">
        <v>28</v>
      </c>
      <c r="H176" s="52" t="s">
        <v>29</v>
      </c>
      <c r="I176" s="52" t="s">
        <v>0</v>
      </c>
      <c r="J176" s="45"/>
    </row>
    <row r="177" spans="1:10">
      <c r="B177" s="53" t="s">
        <v>109</v>
      </c>
      <c r="C177" s="103">
        <f>SUMSQ(E157:H157,E161:H161,E165:H165,E169:H169,E173:H173)/E135-I174^2/G135</f>
        <v>88.183333333333337</v>
      </c>
      <c r="D177" s="1">
        <f>E136*E137-1</f>
        <v>19</v>
      </c>
      <c r="E177" s="45"/>
      <c r="F177" s="11"/>
      <c r="G177" s="71"/>
      <c r="H177" s="10"/>
      <c r="I177" s="44"/>
      <c r="J177" s="45"/>
    </row>
    <row r="178" spans="1:10">
      <c r="B178" s="55" t="s">
        <v>156</v>
      </c>
      <c r="C178" s="104">
        <f>SUMSQ(E174:H174)/G136-I174^2/G135</f>
        <v>27.78333333333336</v>
      </c>
      <c r="D178" s="6">
        <f>E136-1</f>
        <v>3</v>
      </c>
      <c r="E178" s="45">
        <f>C178/D178</f>
        <v>9.26111111111112</v>
      </c>
      <c r="F178" s="71">
        <f>E178/E180</f>
        <v>2.8398637137989811</v>
      </c>
      <c r="G178" s="71">
        <f>FINV(E139,D178,D180)</f>
        <v>3.4902948194976045</v>
      </c>
      <c r="H178" s="71">
        <f>E178/$E$181</f>
        <v>37.04444444444448</v>
      </c>
      <c r="I178" s="105">
        <f>FINV($E$139,D178,$D$181)</f>
        <v>2.8387453980206416</v>
      </c>
      <c r="J178" s="45"/>
    </row>
    <row r="179" spans="1:10">
      <c r="B179" s="55" t="s">
        <v>111</v>
      </c>
      <c r="C179" s="104">
        <f>SUMSQ(I157:I173)/G137-I174^2/G135</f>
        <v>21.266666666666652</v>
      </c>
      <c r="D179" s="6">
        <f>E137-1</f>
        <v>4</v>
      </c>
      <c r="E179" s="45">
        <f>C179/D179</f>
        <v>5.3166666666666629</v>
      </c>
      <c r="F179" s="45"/>
      <c r="G179" s="45"/>
      <c r="H179" s="71">
        <f t="shared" ref="H179:H180" si="11">E179/$E$181</f>
        <v>21.266666666666652</v>
      </c>
      <c r="I179" s="105">
        <f t="shared" ref="I179:I180" si="12">FINV($E$139,D179,$D$181)</f>
        <v>2.6059749491238664</v>
      </c>
      <c r="J179" s="45"/>
    </row>
    <row r="180" spans="1:10">
      <c r="B180" s="55" t="s">
        <v>112</v>
      </c>
      <c r="C180" s="104">
        <f>C177-(C178+C179)</f>
        <v>39.133333333333326</v>
      </c>
      <c r="D180" s="6">
        <f>D178*D179</f>
        <v>12</v>
      </c>
      <c r="E180" s="45">
        <f>C180/D180</f>
        <v>3.2611111111111106</v>
      </c>
      <c r="F180" s="45"/>
      <c r="G180" s="45"/>
      <c r="H180" s="71">
        <f t="shared" si="11"/>
        <v>13.044444444444443</v>
      </c>
      <c r="I180" s="105">
        <f t="shared" si="12"/>
        <v>2.0034593955018329</v>
      </c>
      <c r="J180" s="45"/>
    </row>
    <row r="181" spans="1:10">
      <c r="B181" s="46" t="s">
        <v>157</v>
      </c>
      <c r="C181" s="106">
        <f>SUMSQ(E154:H156,E158:H160,E162:H164,E166:H168,E170:H172)-SUMSQ(E157:H157,E161:H161,E165:H165,E169:H169,E173:H173)/E135</f>
        <v>10</v>
      </c>
      <c r="D181" s="5">
        <f>E136*E137*(E135-1)</f>
        <v>40</v>
      </c>
      <c r="E181" s="46">
        <f>C181/D181</f>
        <v>0.25</v>
      </c>
      <c r="F181" s="45"/>
      <c r="G181" s="45"/>
      <c r="H181" s="45"/>
      <c r="I181" s="45"/>
      <c r="J181" s="45"/>
    </row>
    <row r="182" spans="1:10">
      <c r="B182" s="48" t="s">
        <v>158</v>
      </c>
      <c r="C182" s="107">
        <f>C177+C181</f>
        <v>98.183333333333337</v>
      </c>
      <c r="D182" s="4">
        <f>G135-1</f>
        <v>59</v>
      </c>
      <c r="E182" s="44"/>
      <c r="F182" s="45"/>
      <c r="G182" s="45"/>
      <c r="H182" s="45"/>
      <c r="I182" s="45"/>
      <c r="J182" s="45"/>
    </row>
    <row r="183" spans="1:10">
      <c r="B183" s="46"/>
      <c r="C183" s="44"/>
      <c r="D183" s="44"/>
      <c r="E183" s="44"/>
      <c r="F183" s="45"/>
      <c r="G183" s="45"/>
      <c r="H183" s="45"/>
      <c r="I183" s="45"/>
      <c r="J183" s="45"/>
    </row>
    <row r="184" spans="1:10">
      <c r="B184" s="57" t="s">
        <v>159</v>
      </c>
      <c r="C184" s="55"/>
      <c r="D184" s="6"/>
      <c r="E184" s="45"/>
      <c r="F184" s="45"/>
      <c r="G184" s="45"/>
      <c r="H184" s="45"/>
      <c r="I184" s="45"/>
      <c r="J184" s="45"/>
    </row>
    <row r="185" spans="1:10">
      <c r="B185" s="72" t="s">
        <v>114</v>
      </c>
      <c r="C185" s="53"/>
      <c r="D185" s="108" t="s">
        <v>115</v>
      </c>
      <c r="E185" s="53"/>
      <c r="F185" s="57"/>
      <c r="G185" s="45"/>
      <c r="H185" s="109"/>
      <c r="I185" s="110" t="s">
        <v>16</v>
      </c>
      <c r="J185" s="45"/>
    </row>
    <row r="186" spans="1:10" ht="15">
      <c r="B186" s="55" t="s">
        <v>17</v>
      </c>
      <c r="C186" s="57">
        <f>E180</f>
        <v>3.2611111111111106</v>
      </c>
      <c r="D186" s="55" t="s">
        <v>17</v>
      </c>
      <c r="E186" s="48">
        <f>(C179+C180)/(D179+D180)</f>
        <v>3.7749999999999986</v>
      </c>
      <c r="F186" s="45"/>
      <c r="G186" s="45"/>
      <c r="H186" s="55" t="s">
        <v>18</v>
      </c>
      <c r="I186" s="48">
        <f>E181</f>
        <v>0.25</v>
      </c>
      <c r="J186" s="45"/>
    </row>
    <row r="187" spans="1:10">
      <c r="B187" s="55" t="s">
        <v>11</v>
      </c>
      <c r="C187" s="48">
        <f>SQRT(C186/G136)</f>
        <v>0.46626967240793965</v>
      </c>
      <c r="D187" s="55" t="s">
        <v>11</v>
      </c>
      <c r="E187" s="48">
        <f>SQRT(E186/G136)</f>
        <v>0.50166389810974699</v>
      </c>
      <c r="F187" s="45"/>
      <c r="G187" s="45"/>
      <c r="H187" s="55" t="s">
        <v>11</v>
      </c>
      <c r="I187" s="48">
        <f>SQRT(I186/E135)</f>
        <v>0.28867513459481287</v>
      </c>
      <c r="J187" s="45"/>
    </row>
    <row r="188" spans="1:10">
      <c r="B188" s="55" t="s">
        <v>12</v>
      </c>
      <c r="C188" s="48">
        <f>TINV(1-G139,D180)</f>
        <v>2.178812829667228</v>
      </c>
      <c r="D188" s="55" t="s">
        <v>12</v>
      </c>
      <c r="E188" s="48">
        <f>TINV(1-G139,D179+D180)</f>
        <v>2.119905299221255</v>
      </c>
      <c r="F188" s="45"/>
      <c r="G188" s="45"/>
      <c r="H188" s="55" t="s">
        <v>12</v>
      </c>
      <c r="I188" s="48">
        <f>TINV(1-G139,D181)</f>
        <v>2.0210753903062715</v>
      </c>
      <c r="J188" s="45"/>
    </row>
    <row r="189" spans="1:10">
      <c r="B189" s="55" t="s">
        <v>13</v>
      </c>
      <c r="C189" s="48">
        <f>C187*C188</f>
        <v>1.0159143443271543</v>
      </c>
      <c r="D189" s="55" t="s">
        <v>13</v>
      </c>
      <c r="E189" s="48">
        <f>E187*E188</f>
        <v>1.0634799560308443</v>
      </c>
      <c r="F189" s="45"/>
      <c r="G189" s="45"/>
      <c r="H189" s="55" t="s">
        <v>13</v>
      </c>
      <c r="I189" s="48">
        <f>I188*I187</f>
        <v>0.58343421032292686</v>
      </c>
      <c r="J189" s="10"/>
    </row>
    <row r="190" spans="1:10" ht="14">
      <c r="B190" s="111"/>
      <c r="C190" s="111"/>
    </row>
    <row r="191" spans="1:10" ht="14">
      <c r="B191" s="111"/>
      <c r="C191" s="111"/>
    </row>
    <row r="192" spans="1:10" ht="14">
      <c r="A192" s="149" t="s">
        <v>51</v>
      </c>
      <c r="B192" s="111"/>
      <c r="C192" s="111"/>
    </row>
    <row r="193" spans="1:10" ht="14">
      <c r="A193" s="150" t="s">
        <v>96</v>
      </c>
      <c r="B193" s="111"/>
      <c r="C193" s="111"/>
    </row>
    <row r="194" spans="1:10">
      <c r="A194" s="150" t="s">
        <v>69</v>
      </c>
      <c r="B194" s="77"/>
      <c r="C194" s="77"/>
      <c r="D194" s="112"/>
    </row>
    <row r="195" spans="1:10" ht="14">
      <c r="A195" s="18"/>
      <c r="B195" s="19"/>
      <c r="C195" s="19"/>
      <c r="D195" s="20" t="s">
        <v>43</v>
      </c>
      <c r="E195" s="3">
        <v>3</v>
      </c>
      <c r="F195" s="20" t="s">
        <v>44</v>
      </c>
      <c r="G195" s="3">
        <f>E195*E196*E197</f>
        <v>60</v>
      </c>
      <c r="H195" s="20"/>
      <c r="I195" s="21"/>
      <c r="J195" s="21"/>
    </row>
    <row r="196" spans="1:10" ht="15">
      <c r="B196" s="25"/>
      <c r="C196" s="25"/>
      <c r="D196" s="20" t="s">
        <v>45</v>
      </c>
      <c r="E196" s="3">
        <v>4</v>
      </c>
      <c r="F196" s="20" t="s">
        <v>14</v>
      </c>
      <c r="G196" s="3">
        <f>E195*E197</f>
        <v>15</v>
      </c>
      <c r="H196" s="20"/>
      <c r="I196" s="21"/>
      <c r="J196" s="21"/>
    </row>
    <row r="197" spans="1:10" ht="15">
      <c r="B197" s="26"/>
      <c r="C197" s="26"/>
      <c r="D197" s="27" t="s">
        <v>139</v>
      </c>
      <c r="E197" s="9">
        <v>5</v>
      </c>
      <c r="F197" s="27" t="s">
        <v>15</v>
      </c>
      <c r="G197" s="9">
        <f>E195*E196</f>
        <v>12</v>
      </c>
      <c r="H197" s="27"/>
      <c r="I197" s="21"/>
      <c r="J197" s="22"/>
    </row>
    <row r="198" spans="1:10">
      <c r="B198" s="26"/>
      <c r="C198" s="26"/>
      <c r="D198" s="27"/>
      <c r="E198" s="9"/>
      <c r="F198" s="27"/>
      <c r="G198" s="27"/>
      <c r="H198" s="27"/>
      <c r="I198" s="21"/>
      <c r="J198" s="22"/>
    </row>
    <row r="199" spans="1:10">
      <c r="B199" s="26"/>
      <c r="C199" s="26"/>
      <c r="D199" s="28" t="s">
        <v>141</v>
      </c>
      <c r="E199" s="29">
        <v>0.05</v>
      </c>
      <c r="F199" s="27" t="s">
        <v>142</v>
      </c>
      <c r="G199" s="30">
        <v>0.95</v>
      </c>
      <c r="H199" s="27"/>
      <c r="I199" s="21"/>
      <c r="J199" s="22"/>
    </row>
    <row r="200" spans="1:10">
      <c r="B200" s="82" t="s">
        <v>70</v>
      </c>
      <c r="C200" s="82"/>
      <c r="D200" s="31"/>
      <c r="E200" s="83"/>
      <c r="F200" s="31" t="s">
        <v>71</v>
      </c>
      <c r="G200" s="32">
        <v>2</v>
      </c>
      <c r="H200" s="41"/>
      <c r="I200" s="84"/>
      <c r="J200" s="85"/>
    </row>
    <row r="201" spans="1:10" ht="15">
      <c r="B201" s="31" t="s">
        <v>72</v>
      </c>
      <c r="C201" s="83">
        <v>0.5</v>
      </c>
      <c r="D201" s="31"/>
      <c r="E201" s="319" t="s">
        <v>73</v>
      </c>
      <c r="F201" s="319"/>
      <c r="G201" s="319"/>
      <c r="H201" s="319"/>
      <c r="I201" s="84"/>
      <c r="J201" s="85"/>
    </row>
    <row r="202" spans="1:10" ht="15">
      <c r="B202" s="31" t="s">
        <v>74</v>
      </c>
      <c r="C202" s="83">
        <v>1</v>
      </c>
      <c r="D202" s="113" t="s">
        <v>75</v>
      </c>
      <c r="E202" s="87" t="s">
        <v>76</v>
      </c>
      <c r="F202" s="87" t="s">
        <v>203</v>
      </c>
      <c r="G202" s="87" t="s">
        <v>204</v>
      </c>
      <c r="H202" s="87" t="s">
        <v>205</v>
      </c>
      <c r="I202" s="84"/>
      <c r="J202" s="85"/>
    </row>
    <row r="203" spans="1:10" ht="15">
      <c r="B203" s="31" t="s">
        <v>206</v>
      </c>
      <c r="C203" s="83">
        <v>0.5</v>
      </c>
      <c r="D203" s="114">
        <v>1</v>
      </c>
      <c r="E203" s="89">
        <v>5.376574662233459E-2</v>
      </c>
      <c r="F203" s="89">
        <v>0.15653720836997143</v>
      </c>
      <c r="G203" s="89">
        <v>0.82074578064028669</v>
      </c>
      <c r="H203" s="89">
        <v>-0.76403250782358323</v>
      </c>
      <c r="I203" s="84"/>
      <c r="J203" s="85"/>
    </row>
    <row r="204" spans="1:10">
      <c r="B204" s="33"/>
      <c r="C204" s="33"/>
      <c r="D204" s="114">
        <v>2</v>
      </c>
      <c r="E204" s="89">
        <v>-0.1493909253961071</v>
      </c>
      <c r="F204" s="89">
        <v>6.4242869467105473E-2</v>
      </c>
      <c r="G204" s="89">
        <v>0.13953901826884818</v>
      </c>
      <c r="H204" s="89">
        <v>1.3976471756343027</v>
      </c>
      <c r="I204" s="84"/>
      <c r="J204" s="85"/>
    </row>
    <row r="205" spans="1:10">
      <c r="B205" s="33"/>
      <c r="C205" s="33"/>
      <c r="D205" s="114">
        <v>3</v>
      </c>
      <c r="E205" s="89">
        <v>0.61656007253342193</v>
      </c>
      <c r="F205" s="89">
        <v>5.5173139913842317E-2</v>
      </c>
      <c r="G205" s="89">
        <v>-3.4291648727212076E-2</v>
      </c>
      <c r="H205" s="89">
        <v>0.60672701411096042</v>
      </c>
      <c r="I205" s="84"/>
      <c r="J205" s="85"/>
    </row>
    <row r="206" spans="1:10">
      <c r="B206" s="32"/>
      <c r="C206" s="32"/>
      <c r="D206" s="114">
        <v>4</v>
      </c>
      <c r="E206" s="89">
        <v>0.10502262739147594</v>
      </c>
      <c r="F206" s="89">
        <v>-0.71097305592351834</v>
      </c>
      <c r="G206" s="89">
        <v>0.44833614928758692</v>
      </c>
      <c r="H206" s="89">
        <v>-0.92950638227997029</v>
      </c>
      <c r="I206" s="34"/>
      <c r="J206" s="85"/>
    </row>
    <row r="207" spans="1:10">
      <c r="B207" s="32"/>
      <c r="C207" s="32"/>
      <c r="D207" s="114">
        <v>5</v>
      </c>
      <c r="E207" s="89">
        <v>0.1445270798021408</v>
      </c>
      <c r="F207" s="89">
        <v>1.0736700642399448</v>
      </c>
      <c r="G207" s="89">
        <v>-0.25005552169181089</v>
      </c>
      <c r="H207" s="89">
        <v>0.76026878159886957</v>
      </c>
      <c r="I207" s="34"/>
      <c r="J207" s="85"/>
    </row>
    <row r="208" spans="1:10">
      <c r="B208" s="32"/>
      <c r="C208" s="32"/>
      <c r="D208" s="90"/>
      <c r="E208" s="31"/>
      <c r="F208" s="32"/>
      <c r="G208" s="31"/>
      <c r="H208" s="32"/>
      <c r="I208" s="34"/>
      <c r="J208" s="85"/>
    </row>
    <row r="209" spans="2:10">
      <c r="B209" s="33"/>
      <c r="C209" s="31"/>
      <c r="D209" s="41"/>
      <c r="E209" s="319" t="s">
        <v>207</v>
      </c>
      <c r="F209" s="319"/>
      <c r="G209" s="319"/>
      <c r="H209" s="319"/>
      <c r="I209" s="34"/>
      <c r="J209" s="85"/>
    </row>
    <row r="210" spans="2:10">
      <c r="B210" s="33"/>
      <c r="C210" s="31"/>
      <c r="D210" s="91"/>
      <c r="E210" s="7" t="s">
        <v>7</v>
      </c>
      <c r="F210" s="7" t="s">
        <v>8</v>
      </c>
      <c r="G210" s="7" t="s">
        <v>9</v>
      </c>
      <c r="H210" s="7" t="s">
        <v>10</v>
      </c>
      <c r="I210" s="34"/>
      <c r="J210" s="85"/>
    </row>
    <row r="211" spans="2:10" ht="15">
      <c r="B211" s="33"/>
      <c r="C211" s="32"/>
      <c r="D211" s="70" t="s">
        <v>208</v>
      </c>
      <c r="E211" s="92">
        <v>-0.5</v>
      </c>
      <c r="F211" s="92">
        <v>-1</v>
      </c>
      <c r="G211" s="92">
        <v>0</v>
      </c>
      <c r="H211" s="92">
        <v>1.5</v>
      </c>
      <c r="I211" s="34"/>
      <c r="J211" s="85"/>
    </row>
    <row r="212" spans="2:10" ht="15">
      <c r="B212" s="33"/>
      <c r="C212" s="32"/>
      <c r="D212" s="70" t="s">
        <v>209</v>
      </c>
      <c r="E212" s="92">
        <v>1.5</v>
      </c>
      <c r="F212" s="92">
        <v>1</v>
      </c>
      <c r="G212" s="92">
        <v>2</v>
      </c>
      <c r="H212" s="92">
        <v>3.5</v>
      </c>
      <c r="I212" s="34"/>
      <c r="J212" s="85"/>
    </row>
    <row r="213" spans="2:10" ht="16" thickBot="1">
      <c r="B213" s="33"/>
      <c r="C213" s="93" t="s">
        <v>145</v>
      </c>
      <c r="D213" s="94" t="s">
        <v>210</v>
      </c>
      <c r="E213" s="95"/>
      <c r="F213" s="95"/>
      <c r="G213" s="95"/>
      <c r="H213" s="96"/>
      <c r="I213" s="189" t="s">
        <v>33</v>
      </c>
      <c r="J213" s="189" t="s">
        <v>34</v>
      </c>
    </row>
    <row r="214" spans="2:10" ht="15" customHeight="1">
      <c r="B214" s="33"/>
      <c r="C214" s="33"/>
      <c r="D214" s="98"/>
      <c r="E214" s="179">
        <v>3</v>
      </c>
      <c r="F214" s="180">
        <v>4</v>
      </c>
      <c r="G214" s="180">
        <v>3</v>
      </c>
      <c r="H214" s="181">
        <v>4</v>
      </c>
      <c r="I214" s="314"/>
      <c r="J214" s="156"/>
    </row>
    <row r="215" spans="2:10">
      <c r="B215" s="33"/>
      <c r="C215" s="7">
        <v>1</v>
      </c>
      <c r="D215" s="99">
        <v>1.1303473778476096</v>
      </c>
      <c r="E215" s="182">
        <v>3</v>
      </c>
      <c r="F215" s="174">
        <v>3</v>
      </c>
      <c r="G215" s="174">
        <v>3</v>
      </c>
      <c r="H215" s="183">
        <v>3</v>
      </c>
      <c r="I215" s="314"/>
      <c r="J215" s="159"/>
    </row>
    <row r="216" spans="2:10">
      <c r="B216" s="33"/>
      <c r="C216" s="7"/>
      <c r="D216" s="100"/>
      <c r="E216" s="184">
        <v>2</v>
      </c>
      <c r="F216" s="177">
        <v>3</v>
      </c>
      <c r="G216" s="177">
        <v>2</v>
      </c>
      <c r="H216" s="185">
        <v>3</v>
      </c>
      <c r="I216" s="314"/>
      <c r="J216" s="156"/>
    </row>
    <row r="217" spans="2:10" ht="15">
      <c r="B217" s="33"/>
      <c r="C217" s="87"/>
      <c r="D217" s="190" t="s">
        <v>19</v>
      </c>
      <c r="E217" s="184">
        <f>SUM(E214:E216)</f>
        <v>8</v>
      </c>
      <c r="F217" s="177">
        <f t="shared" ref="F217:G217" si="13">SUM(F214:F216)</f>
        <v>10</v>
      </c>
      <c r="G217" s="177">
        <f t="shared" si="13"/>
        <v>8</v>
      </c>
      <c r="H217" s="185">
        <f>SUM(H214:H216)</f>
        <v>10</v>
      </c>
      <c r="I217" s="186">
        <f>SUM(E217:H217)</f>
        <v>36</v>
      </c>
      <c r="J217" s="187">
        <f>I217/$G$197</f>
        <v>3</v>
      </c>
    </row>
    <row r="218" spans="2:10">
      <c r="B218" s="33"/>
      <c r="C218" s="33"/>
      <c r="D218" s="98"/>
      <c r="E218" s="182">
        <v>1</v>
      </c>
      <c r="F218" s="174">
        <v>0</v>
      </c>
      <c r="G218" s="174">
        <v>2</v>
      </c>
      <c r="H218" s="183">
        <v>2</v>
      </c>
      <c r="I218" s="314"/>
      <c r="J218" s="156"/>
    </row>
    <row r="219" spans="2:10">
      <c r="B219" s="33"/>
      <c r="C219" s="7">
        <v>2</v>
      </c>
      <c r="D219" s="99">
        <v>-0.60115992364001403</v>
      </c>
      <c r="E219" s="182">
        <v>2</v>
      </c>
      <c r="F219" s="174">
        <v>1</v>
      </c>
      <c r="G219" s="174">
        <v>2</v>
      </c>
      <c r="H219" s="183">
        <v>2</v>
      </c>
      <c r="I219" s="314"/>
      <c r="J219" s="159"/>
    </row>
    <row r="220" spans="2:10">
      <c r="B220" s="33"/>
      <c r="C220" s="7"/>
      <c r="D220" s="100"/>
      <c r="E220" s="184">
        <v>1</v>
      </c>
      <c r="F220" s="177">
        <v>0</v>
      </c>
      <c r="G220" s="177">
        <v>2</v>
      </c>
      <c r="H220" s="185">
        <v>1</v>
      </c>
      <c r="I220" s="314"/>
      <c r="J220" s="156"/>
    </row>
    <row r="221" spans="2:10" ht="15">
      <c r="B221" s="33"/>
      <c r="C221" s="87"/>
      <c r="D221" s="190" t="s">
        <v>77</v>
      </c>
      <c r="E221" s="184">
        <f>SUM(E218:E220)</f>
        <v>4</v>
      </c>
      <c r="F221" s="177">
        <f t="shared" ref="F221:G221" si="14">SUM(F218:F220)</f>
        <v>1</v>
      </c>
      <c r="G221" s="177">
        <f t="shared" si="14"/>
        <v>6</v>
      </c>
      <c r="H221" s="185">
        <f>SUM(H218:H220)</f>
        <v>5</v>
      </c>
      <c r="I221" s="186">
        <f>SUM(E221:H221)</f>
        <v>16</v>
      </c>
      <c r="J221" s="187">
        <f>I221/$G$197</f>
        <v>1.3333333333333333</v>
      </c>
    </row>
    <row r="222" spans="2:10">
      <c r="B222" s="33"/>
      <c r="C222" s="33"/>
      <c r="D222" s="98"/>
      <c r="E222" s="182">
        <v>1</v>
      </c>
      <c r="F222" s="174">
        <v>1</v>
      </c>
      <c r="G222" s="174">
        <v>1</v>
      </c>
      <c r="H222" s="183">
        <v>4</v>
      </c>
      <c r="I222" s="314"/>
      <c r="J222" s="156"/>
    </row>
    <row r="223" spans="2:10">
      <c r="B223" s="33"/>
      <c r="C223" s="7">
        <v>3</v>
      </c>
      <c r="D223" s="99">
        <v>0.24537212424903981</v>
      </c>
      <c r="E223" s="182">
        <v>1</v>
      </c>
      <c r="F223" s="174">
        <v>2</v>
      </c>
      <c r="G223" s="174">
        <v>2</v>
      </c>
      <c r="H223" s="183">
        <v>4</v>
      </c>
      <c r="I223" s="314"/>
      <c r="J223" s="159"/>
    </row>
    <row r="224" spans="2:10">
      <c r="B224" s="33"/>
      <c r="C224" s="7"/>
      <c r="D224" s="100"/>
      <c r="E224" s="184">
        <v>1</v>
      </c>
      <c r="F224" s="177">
        <v>1</v>
      </c>
      <c r="G224" s="177">
        <v>1</v>
      </c>
      <c r="H224" s="185">
        <v>5</v>
      </c>
      <c r="I224" s="314"/>
      <c r="J224" s="156"/>
    </row>
    <row r="225" spans="2:10" ht="15">
      <c r="B225" s="33"/>
      <c r="C225" s="87"/>
      <c r="D225" s="190" t="s">
        <v>21</v>
      </c>
      <c r="E225" s="184">
        <f>SUM(E222:E224)</f>
        <v>3</v>
      </c>
      <c r="F225" s="177">
        <f t="shared" ref="F225:G225" si="15">SUM(F222:F224)</f>
        <v>4</v>
      </c>
      <c r="G225" s="177">
        <f t="shared" si="15"/>
        <v>4</v>
      </c>
      <c r="H225" s="185">
        <f>SUM(H222:H224)</f>
        <v>13</v>
      </c>
      <c r="I225" s="186">
        <f>SUM(E225:H225)</f>
        <v>24</v>
      </c>
      <c r="J225" s="187">
        <f>I225/$G$197</f>
        <v>2</v>
      </c>
    </row>
    <row r="226" spans="2:10">
      <c r="B226" s="33"/>
      <c r="C226" s="33"/>
      <c r="D226" s="98"/>
      <c r="E226" s="182">
        <v>2</v>
      </c>
      <c r="F226" s="174">
        <v>2</v>
      </c>
      <c r="G226" s="174">
        <v>3</v>
      </c>
      <c r="H226" s="183">
        <v>5</v>
      </c>
      <c r="I226" s="314"/>
      <c r="J226" s="156"/>
    </row>
    <row r="227" spans="2:10">
      <c r="B227" s="33"/>
      <c r="C227" s="7">
        <v>4</v>
      </c>
      <c r="D227" s="99">
        <v>0.96985829781285449</v>
      </c>
      <c r="E227" s="182">
        <v>3</v>
      </c>
      <c r="F227" s="174">
        <v>2</v>
      </c>
      <c r="G227" s="174">
        <v>3</v>
      </c>
      <c r="H227" s="183">
        <v>5</v>
      </c>
      <c r="I227" s="314"/>
      <c r="J227" s="159"/>
    </row>
    <row r="228" spans="2:10">
      <c r="B228" s="33"/>
      <c r="C228" s="7"/>
      <c r="D228" s="100"/>
      <c r="E228" s="184">
        <v>3</v>
      </c>
      <c r="F228" s="177">
        <v>2</v>
      </c>
      <c r="G228" s="177">
        <v>3</v>
      </c>
      <c r="H228" s="185">
        <v>5</v>
      </c>
      <c r="I228" s="314"/>
      <c r="J228" s="156"/>
    </row>
    <row r="229" spans="2:10" ht="15">
      <c r="B229" s="33"/>
      <c r="C229" s="87"/>
      <c r="D229" s="190" t="s">
        <v>22</v>
      </c>
      <c r="E229" s="184">
        <f>SUM(E226:E228)</f>
        <v>8</v>
      </c>
      <c r="F229" s="177">
        <f t="shared" ref="F229:G229" si="16">SUM(F226:F228)</f>
        <v>6</v>
      </c>
      <c r="G229" s="177">
        <f t="shared" si="16"/>
        <v>9</v>
      </c>
      <c r="H229" s="185">
        <f>SUM(H226:H228)</f>
        <v>15</v>
      </c>
      <c r="I229" s="186">
        <f>SUM(E229:H229)</f>
        <v>38</v>
      </c>
      <c r="J229" s="187">
        <f>I229/$G$197</f>
        <v>3.1666666666666665</v>
      </c>
    </row>
    <row r="230" spans="2:10">
      <c r="B230" s="33"/>
      <c r="C230" s="33"/>
      <c r="D230" s="98"/>
      <c r="E230" s="182">
        <v>1</v>
      </c>
      <c r="F230" s="174">
        <v>0</v>
      </c>
      <c r="G230" s="174">
        <v>1</v>
      </c>
      <c r="H230" s="183">
        <v>2</v>
      </c>
      <c r="I230" s="314"/>
      <c r="J230" s="156"/>
    </row>
    <row r="231" spans="2:10">
      <c r="B231" s="33"/>
      <c r="C231" s="7">
        <v>5</v>
      </c>
      <c r="D231" s="99">
        <v>-0.98583652148849343</v>
      </c>
      <c r="E231" s="182">
        <v>1</v>
      </c>
      <c r="F231" s="174">
        <v>0</v>
      </c>
      <c r="G231" s="174">
        <v>2</v>
      </c>
      <c r="H231" s="183">
        <v>4</v>
      </c>
      <c r="I231" s="314"/>
      <c r="J231" s="159"/>
    </row>
    <row r="232" spans="2:10">
      <c r="B232" s="33"/>
      <c r="C232" s="7"/>
      <c r="D232" s="100"/>
      <c r="E232" s="184">
        <v>1</v>
      </c>
      <c r="F232" s="177">
        <v>0</v>
      </c>
      <c r="G232" s="177">
        <v>1</v>
      </c>
      <c r="H232" s="185">
        <v>3</v>
      </c>
      <c r="I232" s="314"/>
      <c r="J232" s="156"/>
    </row>
    <row r="233" spans="2:10" ht="16" thickBot="1">
      <c r="B233" s="33"/>
      <c r="C233" s="101"/>
      <c r="D233" s="191" t="s">
        <v>78</v>
      </c>
      <c r="E233" s="193">
        <f>SUM(E230:E232)</f>
        <v>3</v>
      </c>
      <c r="F233" s="194">
        <f t="shared" ref="F233" si="17">SUM(F230:F232)</f>
        <v>0</v>
      </c>
      <c r="G233" s="194">
        <f t="shared" ref="G233" si="18">SUM(G230:G232)</f>
        <v>4</v>
      </c>
      <c r="H233" s="195">
        <f>SUM(H230:H232)</f>
        <v>9</v>
      </c>
      <c r="I233" s="186">
        <f>SUM(E233:H233)</f>
        <v>16</v>
      </c>
      <c r="J233" s="187">
        <f>I233/$G$197</f>
        <v>1.3333333333333333</v>
      </c>
    </row>
    <row r="234" spans="2:10">
      <c r="B234" s="40"/>
      <c r="C234" s="102"/>
      <c r="D234" s="192" t="s">
        <v>149</v>
      </c>
      <c r="E234" s="163">
        <f>SUM(E217,E221,E225,E229,E233)</f>
        <v>26</v>
      </c>
      <c r="F234" s="163">
        <f>SUM(F217,F221,F225,F229,F233)</f>
        <v>21</v>
      </c>
      <c r="G234" s="163">
        <f>SUM(G217,G221,G225,G229,G233)</f>
        <v>31</v>
      </c>
      <c r="H234" s="188">
        <f>SUM(H217,H221,H225,H229,H233)</f>
        <v>52</v>
      </c>
      <c r="I234" s="155">
        <f>SUM(E234:H234)</f>
        <v>130</v>
      </c>
      <c r="J234" s="158" t="s">
        <v>150</v>
      </c>
    </row>
    <row r="235" spans="2:10">
      <c r="B235" s="33"/>
      <c r="C235" s="34"/>
      <c r="D235" s="192" t="s">
        <v>151</v>
      </c>
      <c r="E235" s="155">
        <f t="array" ref="E235">E234/$G$196</f>
        <v>1.7333333333333334</v>
      </c>
      <c r="F235" s="155">
        <f t="array" ref="F235">F234/$G$196</f>
        <v>1.4</v>
      </c>
      <c r="G235" s="155">
        <f t="array" ref="G235">G234/$G$196</f>
        <v>2.0666666666666669</v>
      </c>
      <c r="H235" s="155">
        <f t="array" ref="H235">H234/$G$196</f>
        <v>3.4666666666666668</v>
      </c>
      <c r="I235" s="159">
        <f>AVERAGE(E235:H235)</f>
        <v>2.166666666666667</v>
      </c>
      <c r="J235" s="158" t="s">
        <v>152</v>
      </c>
    </row>
    <row r="236" spans="2:10" ht="14">
      <c r="B236" s="50" t="s">
        <v>103</v>
      </c>
      <c r="C236" s="51" t="s">
        <v>104</v>
      </c>
      <c r="D236" s="51" t="s">
        <v>105</v>
      </c>
      <c r="E236" s="51" t="s">
        <v>106</v>
      </c>
      <c r="F236" s="52" t="s">
        <v>79</v>
      </c>
      <c r="G236" s="52" t="s">
        <v>80</v>
      </c>
      <c r="H236" s="52" t="s">
        <v>81</v>
      </c>
      <c r="I236" s="52" t="s">
        <v>82</v>
      </c>
      <c r="J236" s="45"/>
    </row>
    <row r="237" spans="2:10">
      <c r="B237" s="53" t="s">
        <v>109</v>
      </c>
      <c r="C237" s="103">
        <f>SUMSQ(E217:H217,E221:H221,E225:H225,E229:H229,E233:H233)/E195-I234^2/G195</f>
        <v>94.333333333333314</v>
      </c>
      <c r="D237" s="1">
        <f>E196*E197-1</f>
        <v>19</v>
      </c>
      <c r="E237" s="45"/>
      <c r="F237" s="11"/>
      <c r="G237" s="71"/>
      <c r="H237" s="10"/>
      <c r="I237" s="44"/>
      <c r="J237" s="45"/>
    </row>
    <row r="238" spans="2:10">
      <c r="B238" s="55" t="s">
        <v>83</v>
      </c>
      <c r="C238" s="104">
        <f>SUMSQ(E234:H234)/G196-I234^2/G195</f>
        <v>37.133333333333326</v>
      </c>
      <c r="D238" s="6">
        <f>E196-1</f>
        <v>3</v>
      </c>
      <c r="E238" s="45">
        <f>C238/D238</f>
        <v>12.377777777777775</v>
      </c>
      <c r="F238" s="71">
        <f>E238/E240</f>
        <v>7.4765100671140896</v>
      </c>
      <c r="G238" s="71">
        <f>FINV(E199,D238,D240)</f>
        <v>3.4902948194976045</v>
      </c>
      <c r="H238" s="71">
        <f>E238/$E$241</f>
        <v>49.511111111111099</v>
      </c>
      <c r="I238" s="105">
        <f>FINV($E$199,D238,$D$241)</f>
        <v>2.8387453980206416</v>
      </c>
      <c r="J238" s="45"/>
    </row>
    <row r="239" spans="2:10">
      <c r="B239" s="55" t="s">
        <v>111</v>
      </c>
      <c r="C239" s="104">
        <f>SUMSQ(I217:I233)/G197-I234^2/G195</f>
        <v>37.333333333333314</v>
      </c>
      <c r="D239" s="6">
        <f>E197-1</f>
        <v>4</v>
      </c>
      <c r="E239" s="45">
        <f>C239/D239</f>
        <v>9.3333333333333286</v>
      </c>
      <c r="F239" s="45"/>
      <c r="G239" s="45"/>
      <c r="H239" s="71">
        <f>E239/$E$241</f>
        <v>37.333333333333314</v>
      </c>
      <c r="I239" s="105">
        <f>FINV($E$199,D239,$D$241)</f>
        <v>2.6059749491238664</v>
      </c>
      <c r="J239" s="45"/>
    </row>
    <row r="240" spans="2:10">
      <c r="B240" s="55" t="s">
        <v>112</v>
      </c>
      <c r="C240" s="104">
        <f>C237-(C238+C239)</f>
        <v>19.866666666666674</v>
      </c>
      <c r="D240" s="6">
        <f>D238*D239</f>
        <v>12</v>
      </c>
      <c r="E240" s="45">
        <f>C240/D240</f>
        <v>1.6555555555555561</v>
      </c>
      <c r="F240" s="45"/>
      <c r="G240" s="45"/>
      <c r="H240" s="71">
        <f>E240/$E$241</f>
        <v>6.6222222222222245</v>
      </c>
      <c r="I240" s="105">
        <f>FINV($E$199,D240,$D$241)</f>
        <v>2.0034593955018329</v>
      </c>
      <c r="J240" s="45"/>
    </row>
    <row r="241" spans="1:10">
      <c r="B241" s="46" t="s">
        <v>84</v>
      </c>
      <c r="C241" s="106">
        <f>SUMSQ(E214:H216,E218:H220,E222:H224,E226:H228,E230:H232)-SUMSQ(E217:H217,E221:H221,E225:H225,E229:H229,E233:H233)/E195</f>
        <v>10</v>
      </c>
      <c r="D241" s="5">
        <f>E196*E197*(E195-1)</f>
        <v>40</v>
      </c>
      <c r="E241" s="46">
        <f>C241/D241</f>
        <v>0.25</v>
      </c>
      <c r="F241" s="45"/>
      <c r="G241" s="45"/>
      <c r="H241" s="45"/>
      <c r="I241" s="45"/>
      <c r="J241" s="45"/>
    </row>
    <row r="242" spans="1:10">
      <c r="B242" s="48" t="s">
        <v>85</v>
      </c>
      <c r="C242" s="107">
        <f>C237+C241</f>
        <v>104.33333333333331</v>
      </c>
      <c r="D242" s="4">
        <f>G195-1</f>
        <v>59</v>
      </c>
      <c r="E242" s="44"/>
      <c r="F242" s="45"/>
      <c r="G242" s="45"/>
      <c r="H242" s="45"/>
      <c r="I242" s="45"/>
      <c r="J242" s="45"/>
    </row>
    <row r="243" spans="1:10">
      <c r="B243" s="46"/>
      <c r="C243" s="44"/>
      <c r="D243" s="44"/>
      <c r="E243" s="44"/>
      <c r="F243" s="45"/>
      <c r="G243" s="45"/>
      <c r="H243" s="45"/>
      <c r="I243" s="45"/>
      <c r="J243" s="45"/>
    </row>
    <row r="244" spans="1:10">
      <c r="B244" s="57" t="s">
        <v>127</v>
      </c>
      <c r="C244" s="55"/>
      <c r="D244" s="6"/>
      <c r="E244" s="45"/>
      <c r="F244" s="45"/>
      <c r="G244" s="45"/>
      <c r="H244" s="45"/>
      <c r="I244" s="45"/>
      <c r="J244" s="45"/>
    </row>
    <row r="245" spans="1:10">
      <c r="B245" s="72" t="s">
        <v>114</v>
      </c>
      <c r="C245" s="53"/>
      <c r="D245" s="108" t="s">
        <v>115</v>
      </c>
      <c r="E245" s="53"/>
      <c r="F245" s="57"/>
      <c r="G245" s="45"/>
      <c r="H245" s="109"/>
      <c r="I245" s="110" t="s">
        <v>128</v>
      </c>
      <c r="J245" s="45"/>
    </row>
    <row r="246" spans="1:10" ht="15">
      <c r="B246" s="55" t="s">
        <v>18</v>
      </c>
      <c r="C246" s="57">
        <f>E240</f>
        <v>1.6555555555555561</v>
      </c>
      <c r="D246" s="55" t="s">
        <v>18</v>
      </c>
      <c r="E246" s="48">
        <f>(C239+C240)/(D239+D240)</f>
        <v>3.5749999999999993</v>
      </c>
      <c r="F246" s="45"/>
      <c r="G246" s="45"/>
      <c r="H246" s="55" t="s">
        <v>18</v>
      </c>
      <c r="I246" s="48">
        <f>E241</f>
        <v>0.25</v>
      </c>
      <c r="J246" s="45"/>
    </row>
    <row r="247" spans="1:10">
      <c r="B247" s="55" t="s">
        <v>11</v>
      </c>
      <c r="C247" s="48">
        <f>SQRT(C246/G196)</f>
        <v>0.33222036417169015</v>
      </c>
      <c r="D247" s="55" t="s">
        <v>11</v>
      </c>
      <c r="E247" s="48">
        <f>SQRT(E246/G196)</f>
        <v>0.48819395052922693</v>
      </c>
      <c r="F247" s="45"/>
      <c r="G247" s="45"/>
      <c r="H247" s="55" t="s">
        <v>11</v>
      </c>
      <c r="I247" s="48">
        <f>SQRT(I246/E195)</f>
        <v>0.28867513459481287</v>
      </c>
      <c r="J247" s="45"/>
    </row>
    <row r="248" spans="1:10">
      <c r="B248" s="55" t="s">
        <v>12</v>
      </c>
      <c r="C248" s="48">
        <f>TINV(1-G199,D240)</f>
        <v>2.178812829667228</v>
      </c>
      <c r="D248" s="55" t="s">
        <v>12</v>
      </c>
      <c r="E248" s="48">
        <f>TINV(1-G199,D239+D240)</f>
        <v>2.119905299221255</v>
      </c>
      <c r="F248" s="45"/>
      <c r="G248" s="45"/>
      <c r="H248" s="55" t="s">
        <v>12</v>
      </c>
      <c r="I248" s="48">
        <f>TINV(1-G199,D241)</f>
        <v>2.0210753903062715</v>
      </c>
      <c r="J248" s="45"/>
    </row>
    <row r="249" spans="1:10">
      <c r="B249" s="55" t="s">
        <v>13</v>
      </c>
      <c r="C249" s="48">
        <f>C247*C248</f>
        <v>0.72384599173399722</v>
      </c>
      <c r="D249" s="55" t="s">
        <v>13</v>
      </c>
      <c r="E249" s="48">
        <f>E247*E248</f>
        <v>1.0349249427746674</v>
      </c>
      <c r="F249" s="45"/>
      <c r="G249" s="45"/>
      <c r="H249" s="55" t="s">
        <v>13</v>
      </c>
      <c r="I249" s="48">
        <f>I248*I247</f>
        <v>0.58343421032292686</v>
      </c>
      <c r="J249" s="10"/>
    </row>
    <row r="250" spans="1:10">
      <c r="D250" s="77"/>
      <c r="E250" s="8"/>
      <c r="F250" s="8"/>
      <c r="G250" s="8"/>
      <c r="H250" s="8"/>
      <c r="I250" s="115"/>
    </row>
    <row r="251" spans="1:10">
      <c r="D251" s="77"/>
      <c r="E251" s="8"/>
      <c r="F251" s="8"/>
      <c r="G251" s="8"/>
      <c r="H251" s="8"/>
      <c r="I251" s="115"/>
    </row>
    <row r="252" spans="1:10">
      <c r="A252" s="24" t="s">
        <v>35</v>
      </c>
      <c r="D252" s="77"/>
      <c r="E252" s="8"/>
      <c r="F252" s="8"/>
      <c r="G252" s="8"/>
      <c r="H252" s="8"/>
      <c r="I252" s="115"/>
    </row>
    <row r="253" spans="1:10">
      <c r="B253" s="23" t="s">
        <v>129</v>
      </c>
      <c r="D253" s="77"/>
      <c r="E253" s="8"/>
      <c r="F253" s="8"/>
      <c r="G253" s="8"/>
      <c r="H253" s="8"/>
      <c r="I253" s="115"/>
    </row>
    <row r="254" spans="1:10">
      <c r="B254" s="23" t="s">
        <v>137</v>
      </c>
      <c r="D254" s="77"/>
      <c r="E254" s="8"/>
      <c r="F254" s="8"/>
      <c r="G254" s="8"/>
      <c r="H254" s="8"/>
      <c r="I254" s="115"/>
    </row>
    <row r="255" spans="1:10">
      <c r="B255" s="23" t="s">
        <v>36</v>
      </c>
      <c r="D255" s="77"/>
      <c r="E255" s="8"/>
      <c r="F255" s="8"/>
      <c r="G255" s="8"/>
      <c r="H255" s="8"/>
      <c r="I255" s="115"/>
    </row>
    <row r="256" spans="1:10">
      <c r="B256" s="23" t="s">
        <v>155</v>
      </c>
      <c r="D256" s="77"/>
      <c r="E256" s="8"/>
      <c r="F256" s="8"/>
      <c r="G256" s="8"/>
      <c r="H256" s="8"/>
      <c r="I256" s="115"/>
    </row>
    <row r="257" spans="1:10">
      <c r="B257" s="23" t="s">
        <v>192</v>
      </c>
      <c r="D257" s="77"/>
      <c r="E257" s="8"/>
      <c r="F257" s="8"/>
      <c r="G257" s="8"/>
      <c r="H257" s="8"/>
      <c r="I257" s="115"/>
    </row>
    <row r="258" spans="1:10">
      <c r="E258" s="78"/>
      <c r="F258" s="78"/>
      <c r="G258" s="78"/>
      <c r="H258" s="78"/>
    </row>
    <row r="259" spans="1:10" ht="14">
      <c r="A259" s="18"/>
      <c r="B259" s="19"/>
      <c r="C259" s="19"/>
      <c r="D259" s="20" t="s">
        <v>193</v>
      </c>
      <c r="E259" s="3">
        <v>1</v>
      </c>
      <c r="F259" s="20" t="s">
        <v>194</v>
      </c>
      <c r="G259" s="3">
        <f>E259*E260*E261</f>
        <v>16</v>
      </c>
      <c r="H259" s="21"/>
      <c r="I259" s="22"/>
      <c r="J259" s="22"/>
    </row>
    <row r="260" spans="1:10" ht="15">
      <c r="B260" s="25"/>
      <c r="C260" s="25"/>
      <c r="D260" s="20" t="s">
        <v>195</v>
      </c>
      <c r="E260" s="3">
        <v>4</v>
      </c>
      <c r="F260" s="20" t="s">
        <v>196</v>
      </c>
      <c r="G260" s="3">
        <f>E259*E261</f>
        <v>4</v>
      </c>
      <c r="H260" s="21"/>
      <c r="I260" s="22"/>
      <c r="J260" s="22"/>
    </row>
    <row r="261" spans="1:10" ht="15">
      <c r="B261" s="26"/>
      <c r="C261" s="26"/>
      <c r="D261" s="27" t="s">
        <v>197</v>
      </c>
      <c r="E261" s="9">
        <v>4</v>
      </c>
      <c r="F261" s="27" t="s">
        <v>198</v>
      </c>
      <c r="G261" s="9">
        <f>E259*E260</f>
        <v>4</v>
      </c>
      <c r="H261" s="22"/>
      <c r="I261" s="22"/>
      <c r="J261" s="22"/>
    </row>
    <row r="262" spans="1:10">
      <c r="B262" s="26"/>
      <c r="C262" s="26"/>
      <c r="D262" s="27"/>
      <c r="E262" s="9"/>
      <c r="F262" s="27"/>
      <c r="G262" s="9"/>
      <c r="H262" s="22"/>
      <c r="I262" s="22"/>
      <c r="J262" s="22"/>
    </row>
    <row r="263" spans="1:10">
      <c r="B263" s="26"/>
      <c r="C263" s="26"/>
      <c r="D263" s="28" t="s">
        <v>199</v>
      </c>
      <c r="E263" s="29">
        <v>0.05</v>
      </c>
      <c r="F263" s="27" t="s">
        <v>200</v>
      </c>
      <c r="G263" s="30">
        <v>0.95</v>
      </c>
      <c r="H263" s="22"/>
      <c r="I263" s="22"/>
      <c r="J263" s="22"/>
    </row>
    <row r="264" spans="1:10" ht="15">
      <c r="B264" s="31" t="s">
        <v>201</v>
      </c>
      <c r="C264" s="32">
        <v>3</v>
      </c>
      <c r="D264" s="116" t="s">
        <v>61</v>
      </c>
      <c r="E264" s="92">
        <v>4</v>
      </c>
      <c r="F264" s="92">
        <v>6</v>
      </c>
      <c r="G264" s="92">
        <v>7</v>
      </c>
      <c r="H264" s="92">
        <v>7.5</v>
      </c>
      <c r="I264" s="152"/>
      <c r="J264" s="153"/>
    </row>
    <row r="265" spans="1:10" ht="15">
      <c r="B265" s="31" t="s">
        <v>62</v>
      </c>
      <c r="C265" s="32">
        <v>1</v>
      </c>
      <c r="D265" s="34"/>
      <c r="E265" s="32"/>
      <c r="F265" s="117"/>
      <c r="G265" s="117"/>
      <c r="H265" s="117"/>
      <c r="I265" s="152"/>
      <c r="J265" s="153"/>
    </row>
    <row r="266" spans="1:10">
      <c r="B266" s="33"/>
      <c r="C266" s="117"/>
      <c r="D266" s="117"/>
      <c r="E266" s="315" t="s">
        <v>202</v>
      </c>
      <c r="F266" s="315"/>
      <c r="G266" s="315"/>
      <c r="H266" s="315"/>
      <c r="I266" s="152"/>
      <c r="J266" s="153"/>
    </row>
    <row r="267" spans="1:10" ht="15">
      <c r="B267" s="35" t="s">
        <v>65</v>
      </c>
      <c r="C267" s="36" t="s">
        <v>66</v>
      </c>
      <c r="D267" s="118"/>
      <c r="E267" s="119">
        <v>1</v>
      </c>
      <c r="F267" s="119">
        <v>5</v>
      </c>
      <c r="G267" s="119">
        <v>16</v>
      </c>
      <c r="H267" s="119">
        <v>20</v>
      </c>
      <c r="I267" s="154" t="s">
        <v>67</v>
      </c>
      <c r="J267" s="154" t="s">
        <v>68</v>
      </c>
    </row>
    <row r="268" spans="1:10">
      <c r="B268" s="40">
        <v>1</v>
      </c>
      <c r="C268" s="41">
        <v>0</v>
      </c>
      <c r="D268" s="316" t="s">
        <v>1</v>
      </c>
      <c r="E268" s="174">
        <v>8</v>
      </c>
      <c r="F268" s="174">
        <v>10</v>
      </c>
      <c r="G268" s="196">
        <v>11</v>
      </c>
      <c r="H268" s="175">
        <v>11</v>
      </c>
      <c r="I268" s="174">
        <f>SUM(E268:H268)</f>
        <v>40</v>
      </c>
      <c r="J268" s="159">
        <f>$I$273-AVERAGE(E268:H268)</f>
        <v>-4.4375</v>
      </c>
    </row>
    <row r="269" spans="1:10">
      <c r="B269" s="40">
        <v>2</v>
      </c>
      <c r="C269" s="41">
        <v>-5</v>
      </c>
      <c r="D269" s="317"/>
      <c r="E269" s="174">
        <v>2</v>
      </c>
      <c r="F269" s="174">
        <v>5</v>
      </c>
      <c r="G269" s="174">
        <v>6</v>
      </c>
      <c r="H269" s="175">
        <v>6</v>
      </c>
      <c r="I269" s="174">
        <f t="shared" ref="I269:I271" si="19">SUM(E269:H269)</f>
        <v>19</v>
      </c>
      <c r="J269" s="159">
        <f t="shared" ref="J269:J271" si="20">$I$273-AVERAGE(E269:H269)</f>
        <v>0.8125</v>
      </c>
    </row>
    <row r="270" spans="1:10">
      <c r="B270" s="40">
        <v>3</v>
      </c>
      <c r="C270" s="41">
        <v>-3</v>
      </c>
      <c r="D270" s="317"/>
      <c r="E270" s="174">
        <v>2</v>
      </c>
      <c r="F270" s="174">
        <v>6</v>
      </c>
      <c r="G270" s="174">
        <v>7</v>
      </c>
      <c r="H270" s="175">
        <v>6</v>
      </c>
      <c r="I270" s="174">
        <f t="shared" si="19"/>
        <v>21</v>
      </c>
      <c r="J270" s="159">
        <f t="shared" si="20"/>
        <v>0.3125</v>
      </c>
    </row>
    <row r="271" spans="1:10">
      <c r="B271" s="42">
        <v>4</v>
      </c>
      <c r="C271" s="35">
        <v>0</v>
      </c>
      <c r="D271" s="318"/>
      <c r="E271" s="177">
        <v>0</v>
      </c>
      <c r="F271" s="177">
        <v>4</v>
      </c>
      <c r="G271" s="177">
        <v>1</v>
      </c>
      <c r="H271" s="178">
        <v>4</v>
      </c>
      <c r="I271" s="197">
        <f t="shared" si="19"/>
        <v>9</v>
      </c>
      <c r="J271" s="154">
        <f t="shared" si="20"/>
        <v>3.3125</v>
      </c>
    </row>
    <row r="272" spans="1:10" ht="15">
      <c r="B272" s="160"/>
      <c r="C272" s="161"/>
      <c r="D272" s="198" t="s">
        <v>52</v>
      </c>
      <c r="E272" s="199">
        <f>SUM(E268:E271)</f>
        <v>12</v>
      </c>
      <c r="F272" s="199">
        <f>SUM(F268:F271)</f>
        <v>25</v>
      </c>
      <c r="G272" s="196">
        <f>SUM(G268:G271)</f>
        <v>25</v>
      </c>
      <c r="H272" s="200">
        <f>SUM(H268:H271)</f>
        <v>27</v>
      </c>
      <c r="I272" s="174">
        <f>SUM(E272:H272)</f>
        <v>89</v>
      </c>
      <c r="J272" s="158" t="s">
        <v>53</v>
      </c>
    </row>
    <row r="273" spans="2:10" ht="15">
      <c r="B273" s="156"/>
      <c r="C273" s="152"/>
      <c r="D273" s="198" t="s">
        <v>54</v>
      </c>
      <c r="E273" s="201">
        <f>AVERAGE(E268:E271)</f>
        <v>3</v>
      </c>
      <c r="F273" s="201">
        <f>AVERAGE(F268:F271)</f>
        <v>6.25</v>
      </c>
      <c r="G273" s="201">
        <f>AVERAGE(G268:G271)</f>
        <v>6.25</v>
      </c>
      <c r="H273" s="202">
        <f>AVERAGE(H268:H271)</f>
        <v>6.75</v>
      </c>
      <c r="I273" s="159">
        <f>AVERAGE(E268:H271)</f>
        <v>5.5625</v>
      </c>
      <c r="J273" s="158" t="s">
        <v>55</v>
      </c>
    </row>
    <row r="274" spans="2:10" ht="14">
      <c r="B274" s="50" t="s">
        <v>56</v>
      </c>
      <c r="C274" s="51" t="s">
        <v>57</v>
      </c>
      <c r="D274" s="51" t="s">
        <v>58</v>
      </c>
      <c r="E274" s="51" t="s">
        <v>59</v>
      </c>
      <c r="F274" s="52" t="s">
        <v>60</v>
      </c>
      <c r="G274" s="52" t="s">
        <v>2</v>
      </c>
      <c r="H274" s="45"/>
      <c r="I274" s="45"/>
      <c r="J274" s="45"/>
    </row>
    <row r="275" spans="2:10">
      <c r="B275" s="53" t="s">
        <v>3</v>
      </c>
      <c r="C275" s="46">
        <f>SUMSQ(E268:H271)-$I$272^2/$G$259</f>
        <v>169.9375</v>
      </c>
      <c r="D275" s="1">
        <f>$E$260*$E$261-1</f>
        <v>15</v>
      </c>
      <c r="E275" s="45"/>
      <c r="F275" s="10"/>
      <c r="G275" s="45"/>
      <c r="H275" s="45"/>
      <c r="I275" s="45"/>
      <c r="J275" s="45"/>
    </row>
    <row r="276" spans="2:10">
      <c r="B276" s="55" t="s">
        <v>63</v>
      </c>
      <c r="C276" s="44">
        <f>SUMSQ(E272:H272)/$G$260-$I$272^2/$G$259</f>
        <v>35.6875</v>
      </c>
      <c r="D276" s="6">
        <f>$G$261-1</f>
        <v>3</v>
      </c>
      <c r="E276" s="45">
        <f>C276/D276</f>
        <v>11.895833333333334</v>
      </c>
      <c r="F276" s="56">
        <f>E276/E278</f>
        <v>12.503649635036497</v>
      </c>
      <c r="G276" s="56">
        <f>FINV($E$263,D276,D278)</f>
        <v>3.8625483576247648</v>
      </c>
      <c r="H276" s="45"/>
      <c r="I276" s="45"/>
      <c r="J276" s="45"/>
    </row>
    <row r="277" spans="2:10">
      <c r="B277" s="55" t="s">
        <v>64</v>
      </c>
      <c r="C277" s="44">
        <f>SUMSQ(I268:I271)/$G$261-$I$272^2/$G$259</f>
        <v>125.6875</v>
      </c>
      <c r="D277" s="6">
        <f>$G$260-1</f>
        <v>3</v>
      </c>
      <c r="E277" s="45"/>
      <c r="F277" s="45"/>
      <c r="G277" s="45"/>
      <c r="H277" s="45"/>
      <c r="I277" s="45"/>
      <c r="J277" s="45"/>
    </row>
    <row r="278" spans="2:10">
      <c r="B278" s="55" t="s">
        <v>4</v>
      </c>
      <c r="C278" s="44">
        <f>C275-(C276+C277)</f>
        <v>8.5625</v>
      </c>
      <c r="D278" s="6">
        <f>D276*D277</f>
        <v>9</v>
      </c>
      <c r="E278" s="45">
        <f t="shared" ref="E278" si="21">C278/D278</f>
        <v>0.95138888888888884</v>
      </c>
      <c r="F278" s="45"/>
      <c r="G278" s="45"/>
      <c r="H278" s="45"/>
      <c r="I278" s="45"/>
      <c r="J278" s="45"/>
    </row>
    <row r="279" spans="2:10">
      <c r="B279" s="44"/>
      <c r="C279" s="44"/>
      <c r="D279" s="44"/>
      <c r="E279" s="44"/>
      <c r="F279" s="45"/>
      <c r="G279" s="45"/>
      <c r="H279" s="45"/>
      <c r="I279" s="45"/>
      <c r="J279" s="45"/>
    </row>
    <row r="280" spans="2:10">
      <c r="B280" s="57" t="s">
        <v>5</v>
      </c>
      <c r="C280" s="55"/>
      <c r="D280" s="6"/>
      <c r="E280" s="45"/>
      <c r="F280" s="45"/>
      <c r="G280" s="45"/>
      <c r="H280" s="45"/>
      <c r="I280" s="45"/>
      <c r="J280" s="45"/>
    </row>
    <row r="281" spans="2:10">
      <c r="B281" s="57" t="s">
        <v>6</v>
      </c>
      <c r="C281" s="53"/>
      <c r="D281" s="1"/>
      <c r="E281" s="45"/>
      <c r="F281" s="45"/>
      <c r="G281" s="45"/>
      <c r="H281" s="45"/>
      <c r="I281" s="45"/>
      <c r="J281" s="45"/>
    </row>
    <row r="282" spans="2:10" ht="15">
      <c r="B282" s="55" t="s">
        <v>18</v>
      </c>
      <c r="C282" s="57">
        <f>E278</f>
        <v>0.95138888888888884</v>
      </c>
      <c r="D282" s="1"/>
      <c r="E282" s="45"/>
      <c r="F282" s="45"/>
      <c r="G282" s="45"/>
      <c r="H282" s="45"/>
      <c r="I282" s="45"/>
      <c r="J282" s="45"/>
    </row>
    <row r="283" spans="2:10">
      <c r="B283" s="55" t="s">
        <v>11</v>
      </c>
      <c r="C283" s="48">
        <f>SQRT(C282/$G$260)</f>
        <v>0.4876958296133177</v>
      </c>
      <c r="D283" s="10"/>
      <c r="E283" s="58"/>
      <c r="F283" s="45"/>
      <c r="G283" s="45"/>
      <c r="H283" s="45"/>
      <c r="I283" s="45"/>
      <c r="J283" s="45"/>
    </row>
    <row r="284" spans="2:10">
      <c r="B284" s="55" t="s">
        <v>12</v>
      </c>
      <c r="C284" s="48">
        <f>TINV(1-$G$263,$D$278)</f>
        <v>2.2621571627982049</v>
      </c>
      <c r="D284" s="45"/>
      <c r="E284" s="45"/>
      <c r="F284" s="45"/>
      <c r="G284" s="45"/>
      <c r="H284" s="45"/>
      <c r="I284" s="45"/>
      <c r="J284" s="45"/>
    </row>
    <row r="285" spans="2:10">
      <c r="B285" s="55" t="s">
        <v>13</v>
      </c>
      <c r="C285" s="48">
        <f>C283*C284</f>
        <v>1.1032446142265795</v>
      </c>
      <c r="D285" s="59"/>
      <c r="E285" s="11"/>
      <c r="F285" s="60"/>
      <c r="G285" s="55"/>
      <c r="H285" s="10"/>
      <c r="I285" s="53"/>
      <c r="J285" s="45"/>
    </row>
    <row r="286" spans="2:10">
      <c r="B286" s="10"/>
      <c r="C286" s="10"/>
      <c r="D286" s="55"/>
      <c r="E286" s="55"/>
      <c r="F286" s="55"/>
      <c r="G286" s="55"/>
      <c r="H286" s="2"/>
      <c r="I286" s="53"/>
      <c r="J286" s="45"/>
    </row>
    <row r="287" spans="2:10">
      <c r="B287" s="57" t="s">
        <v>86</v>
      </c>
      <c r="C287" s="53"/>
      <c r="D287" s="1"/>
      <c r="E287" s="54"/>
      <c r="F287" s="54"/>
      <c r="G287" s="54"/>
      <c r="H287" s="53"/>
      <c r="I287" s="53"/>
      <c r="J287" s="45"/>
    </row>
    <row r="288" spans="2:10" ht="15">
      <c r="B288" s="55" t="s">
        <v>18</v>
      </c>
      <c r="C288" s="48">
        <f>(C277+C278)/(D277+D278)</f>
        <v>11.1875</v>
      </c>
      <c r="D288" s="6"/>
      <c r="E288" s="62"/>
      <c r="F288" s="62"/>
      <c r="G288" s="62"/>
      <c r="H288" s="55"/>
      <c r="I288" s="55"/>
      <c r="J288" s="45"/>
    </row>
    <row r="289" spans="2:10">
      <c r="B289" s="55" t="s">
        <v>11</v>
      </c>
      <c r="C289" s="48">
        <f>SQRT(C288/$G$260)</f>
        <v>1.6723860200324565</v>
      </c>
      <c r="D289" s="6"/>
      <c r="E289" s="62"/>
      <c r="F289" s="62"/>
      <c r="G289" s="62"/>
      <c r="H289" s="55"/>
      <c r="I289" s="55"/>
      <c r="J289" s="45"/>
    </row>
    <row r="290" spans="2:10">
      <c r="B290" s="55" t="s">
        <v>12</v>
      </c>
      <c r="C290" s="48">
        <f>TINV(1-$G$263,D277+D278)</f>
        <v>2.178812829667228</v>
      </c>
      <c r="D290" s="6"/>
      <c r="E290" s="62"/>
      <c r="F290" s="62"/>
      <c r="G290" s="62"/>
      <c r="H290" s="55"/>
      <c r="I290" s="55"/>
      <c r="J290" s="45"/>
    </row>
    <row r="291" spans="2:10">
      <c r="B291" s="55" t="s">
        <v>13</v>
      </c>
      <c r="C291" s="48">
        <f>C289*C290</f>
        <v>3.6438161166028302</v>
      </c>
      <c r="D291" s="1"/>
      <c r="E291" s="54"/>
      <c r="F291" s="54"/>
      <c r="G291" s="62"/>
      <c r="H291" s="2"/>
      <c r="I291" s="45"/>
      <c r="J291" s="45"/>
    </row>
    <row r="292" spans="2:10">
      <c r="B292" s="10"/>
      <c r="C292" s="10"/>
      <c r="D292" s="10"/>
      <c r="E292" s="63"/>
      <c r="F292" s="63"/>
      <c r="G292" s="63"/>
      <c r="H292" s="10"/>
      <c r="I292" s="45"/>
      <c r="J292" s="45"/>
    </row>
    <row r="293" spans="2:10">
      <c r="B293" s="161"/>
      <c r="C293" s="161"/>
      <c r="D293" s="170"/>
      <c r="E293" s="315" t="s">
        <v>202</v>
      </c>
      <c r="F293" s="315"/>
      <c r="G293" s="315"/>
      <c r="H293" s="315"/>
      <c r="I293" s="152"/>
      <c r="J293" s="153"/>
    </row>
    <row r="294" spans="2:10" ht="15">
      <c r="B294" s="161"/>
      <c r="C294" s="161"/>
      <c r="D294" s="212"/>
      <c r="E294" s="119">
        <v>1</v>
      </c>
      <c r="F294" s="119">
        <v>5</v>
      </c>
      <c r="G294" s="119">
        <v>16</v>
      </c>
      <c r="H294" s="120">
        <v>20</v>
      </c>
      <c r="I294" s="154" t="s">
        <v>67</v>
      </c>
      <c r="J294" s="211"/>
    </row>
    <row r="295" spans="2:10">
      <c r="B295" s="161"/>
      <c r="C295" s="161"/>
      <c r="D295" s="309" t="s">
        <v>87</v>
      </c>
      <c r="E295" s="159">
        <f>$J268</f>
        <v>-4.4375</v>
      </c>
      <c r="F295" s="159">
        <f t="shared" ref="F295:H295" si="22">$J268</f>
        <v>-4.4375</v>
      </c>
      <c r="G295" s="159">
        <f t="shared" si="22"/>
        <v>-4.4375</v>
      </c>
      <c r="H295" s="203">
        <f t="shared" si="22"/>
        <v>-4.4375</v>
      </c>
      <c r="I295" s="174"/>
      <c r="J295" s="204"/>
    </row>
    <row r="296" spans="2:10">
      <c r="B296" s="161"/>
      <c r="C296" s="161"/>
      <c r="D296" s="310"/>
      <c r="E296" s="159">
        <f t="shared" ref="E296:H298" si="23">$J269</f>
        <v>0.8125</v>
      </c>
      <c r="F296" s="159">
        <f t="shared" si="23"/>
        <v>0.8125</v>
      </c>
      <c r="G296" s="159">
        <f t="shared" si="23"/>
        <v>0.8125</v>
      </c>
      <c r="H296" s="205">
        <f t="shared" si="23"/>
        <v>0.8125</v>
      </c>
      <c r="I296" s="174"/>
      <c r="J296" s="204"/>
    </row>
    <row r="297" spans="2:10">
      <c r="B297" s="161"/>
      <c r="C297" s="161"/>
      <c r="D297" s="310"/>
      <c r="E297" s="159">
        <f t="shared" si="23"/>
        <v>0.3125</v>
      </c>
      <c r="F297" s="159">
        <f t="shared" si="23"/>
        <v>0.3125</v>
      </c>
      <c r="G297" s="159">
        <f t="shared" si="23"/>
        <v>0.3125</v>
      </c>
      <c r="H297" s="205">
        <f t="shared" si="23"/>
        <v>0.3125</v>
      </c>
      <c r="I297" s="174"/>
      <c r="J297" s="204"/>
    </row>
    <row r="298" spans="2:10" ht="14" thickBot="1">
      <c r="B298" s="161"/>
      <c r="C298" s="161"/>
      <c r="D298" s="311"/>
      <c r="E298" s="189">
        <f t="shared" si="23"/>
        <v>3.3125</v>
      </c>
      <c r="F298" s="189">
        <f t="shared" si="23"/>
        <v>3.3125</v>
      </c>
      <c r="G298" s="189">
        <f t="shared" si="23"/>
        <v>3.3125</v>
      </c>
      <c r="H298" s="206">
        <f t="shared" si="23"/>
        <v>3.3125</v>
      </c>
      <c r="I298" s="194"/>
      <c r="J298" s="207"/>
    </row>
    <row r="299" spans="2:10">
      <c r="B299" s="161"/>
      <c r="C299" s="161"/>
      <c r="D299" s="312" t="s">
        <v>88</v>
      </c>
      <c r="E299" s="159">
        <f t="shared" ref="E299:H302" si="24">E268+E295</f>
        <v>3.5625</v>
      </c>
      <c r="F299" s="159">
        <f t="shared" si="24"/>
        <v>5.5625</v>
      </c>
      <c r="G299" s="159">
        <f t="shared" si="24"/>
        <v>6.5625</v>
      </c>
      <c r="H299" s="205">
        <f t="shared" si="24"/>
        <v>6.5625</v>
      </c>
      <c r="I299" s="174">
        <f>SUM(E299:H299)</f>
        <v>22.25</v>
      </c>
      <c r="J299" s="204"/>
    </row>
    <row r="300" spans="2:10">
      <c r="B300" s="161"/>
      <c r="C300" s="161"/>
      <c r="D300" s="310"/>
      <c r="E300" s="159">
        <f t="shared" si="24"/>
        <v>2.8125</v>
      </c>
      <c r="F300" s="159">
        <f t="shared" si="24"/>
        <v>5.8125</v>
      </c>
      <c r="G300" s="159">
        <f t="shared" si="24"/>
        <v>6.8125</v>
      </c>
      <c r="H300" s="205">
        <f t="shared" si="24"/>
        <v>6.8125</v>
      </c>
      <c r="I300" s="174">
        <f t="shared" ref="I300:I302" si="25">SUM(E300:H300)</f>
        <v>22.25</v>
      </c>
      <c r="J300" s="204"/>
    </row>
    <row r="301" spans="2:10">
      <c r="B301" s="161"/>
      <c r="C301" s="161"/>
      <c r="D301" s="310"/>
      <c r="E301" s="159">
        <f t="shared" si="24"/>
        <v>2.3125</v>
      </c>
      <c r="F301" s="159">
        <f t="shared" si="24"/>
        <v>6.3125</v>
      </c>
      <c r="G301" s="159">
        <f t="shared" si="24"/>
        <v>7.3125</v>
      </c>
      <c r="H301" s="205">
        <f t="shared" si="24"/>
        <v>6.3125</v>
      </c>
      <c r="I301" s="174">
        <f t="shared" si="25"/>
        <v>22.25</v>
      </c>
      <c r="J301" s="204"/>
    </row>
    <row r="302" spans="2:10">
      <c r="B302" s="161"/>
      <c r="C302" s="161"/>
      <c r="D302" s="313"/>
      <c r="E302" s="208">
        <f t="shared" si="24"/>
        <v>3.3125</v>
      </c>
      <c r="F302" s="154">
        <f t="shared" si="24"/>
        <v>7.3125</v>
      </c>
      <c r="G302" s="159">
        <f t="shared" si="24"/>
        <v>4.3125</v>
      </c>
      <c r="H302" s="205">
        <f t="shared" si="24"/>
        <v>7.3125</v>
      </c>
      <c r="I302" s="177">
        <f t="shared" si="25"/>
        <v>22.25</v>
      </c>
      <c r="J302" s="209"/>
    </row>
    <row r="303" spans="2:10" ht="15">
      <c r="B303" s="160"/>
      <c r="C303" s="161"/>
      <c r="D303" s="198" t="s">
        <v>52</v>
      </c>
      <c r="E303" s="163">
        <f>SUM(E299:E302)</f>
        <v>12</v>
      </c>
      <c r="F303" s="163">
        <f>SUM(F299:F302)</f>
        <v>25</v>
      </c>
      <c r="G303" s="210">
        <f>SUM(G299:G302)</f>
        <v>25</v>
      </c>
      <c r="H303" s="164">
        <f>SUM(H299:H302)</f>
        <v>27</v>
      </c>
      <c r="I303" s="174">
        <f>SUM(E303:H303)</f>
        <v>89</v>
      </c>
      <c r="J303" s="158" t="s">
        <v>53</v>
      </c>
    </row>
    <row r="304" spans="2:10" ht="15">
      <c r="B304" s="156"/>
      <c r="C304" s="152"/>
      <c r="D304" s="198" t="s">
        <v>54</v>
      </c>
      <c r="E304" s="201">
        <f>AVERAGE(E299:E302)</f>
        <v>3</v>
      </c>
      <c r="F304" s="201">
        <f>AVERAGE(F299:F302)</f>
        <v>6.25</v>
      </c>
      <c r="G304" s="201">
        <f>AVERAGE(G299:G302)</f>
        <v>6.25</v>
      </c>
      <c r="H304" s="202">
        <f>AVERAGE(H299:H302)</f>
        <v>6.75</v>
      </c>
      <c r="I304" s="159">
        <f>AVERAGE(E299:H302)</f>
        <v>5.5625</v>
      </c>
      <c r="J304" s="158" t="s">
        <v>55</v>
      </c>
    </row>
    <row r="305" spans="2:10" ht="14">
      <c r="B305" s="50" t="s">
        <v>56</v>
      </c>
      <c r="C305" s="51" t="s">
        <v>57</v>
      </c>
      <c r="D305" s="51" t="s">
        <v>58</v>
      </c>
      <c r="E305" s="51" t="s">
        <v>59</v>
      </c>
      <c r="F305" s="52" t="s">
        <v>60</v>
      </c>
      <c r="G305" s="52" t="s">
        <v>2</v>
      </c>
      <c r="H305" s="45"/>
      <c r="I305" s="45"/>
      <c r="J305" s="45"/>
    </row>
    <row r="306" spans="2:10">
      <c r="B306" s="53" t="s">
        <v>3</v>
      </c>
      <c r="C306" s="46">
        <f>SUMSQ(E299:H302)-$I$272^2/$G$259</f>
        <v>44.25</v>
      </c>
      <c r="D306" s="1">
        <f>$E$260*$E$261-1</f>
        <v>15</v>
      </c>
      <c r="E306" s="45"/>
      <c r="F306" s="10"/>
      <c r="G306" s="45"/>
      <c r="H306" s="45"/>
      <c r="I306" s="45"/>
      <c r="J306" s="45"/>
    </row>
    <row r="307" spans="2:10">
      <c r="B307" s="55" t="s">
        <v>63</v>
      </c>
      <c r="C307" s="44">
        <f>SUMSQ(E303:H303)/$G$260-$I$272^2/$G$259</f>
        <v>35.6875</v>
      </c>
      <c r="D307" s="6">
        <f>$G$261-1</f>
        <v>3</v>
      </c>
      <c r="E307" s="45">
        <f t="shared" ref="E307:E309" si="26">C307/D307</f>
        <v>11.895833333333334</v>
      </c>
      <c r="F307" s="56">
        <f>E307/E309</f>
        <v>12.503649635036497</v>
      </c>
      <c r="G307" s="56">
        <f>FINV($E$263,D307,D309)</f>
        <v>3.8625483576247648</v>
      </c>
      <c r="H307" s="45"/>
      <c r="I307" s="45"/>
      <c r="J307" s="45"/>
    </row>
    <row r="308" spans="2:10">
      <c r="B308" s="55" t="s">
        <v>64</v>
      </c>
      <c r="C308" s="44">
        <f>SUMSQ(I299:I302)/$G$261-$I$272^2/$G$259</f>
        <v>0</v>
      </c>
      <c r="D308" s="6">
        <v>0</v>
      </c>
      <c r="E308" s="45"/>
      <c r="F308" s="45"/>
      <c r="G308" s="45"/>
      <c r="H308" s="45"/>
      <c r="I308" s="45"/>
      <c r="J308" s="45"/>
    </row>
    <row r="309" spans="2:10">
      <c r="B309" s="55" t="s">
        <v>4</v>
      </c>
      <c r="C309" s="44">
        <f>C306-(C307+C308)</f>
        <v>8.5625</v>
      </c>
      <c r="D309" s="6">
        <v>9</v>
      </c>
      <c r="E309" s="45">
        <f t="shared" si="26"/>
        <v>0.95138888888888884</v>
      </c>
      <c r="F309" s="45"/>
      <c r="G309" s="45"/>
      <c r="H309" s="45"/>
      <c r="I309" s="45"/>
      <c r="J309" s="45"/>
    </row>
    <row r="310" spans="2:10">
      <c r="B310" s="44"/>
      <c r="C310" s="44"/>
      <c r="D310" s="44"/>
      <c r="E310" s="44"/>
      <c r="F310" s="45"/>
      <c r="G310" s="45"/>
      <c r="H310" s="45"/>
      <c r="I310" s="45"/>
      <c r="J310" s="45"/>
    </row>
    <row r="311" spans="2:10" ht="56" customHeight="1">
      <c r="B311" s="57" t="s">
        <v>5</v>
      </c>
      <c r="C311" s="55"/>
      <c r="D311" s="6"/>
      <c r="E311" s="45"/>
      <c r="F311" s="45"/>
      <c r="G311" s="45"/>
      <c r="H311" s="45"/>
      <c r="I311" s="45"/>
      <c r="J311" s="45"/>
    </row>
    <row r="312" spans="2:10">
      <c r="B312" s="57" t="s">
        <v>6</v>
      </c>
      <c r="C312" s="53"/>
      <c r="D312" s="1"/>
      <c r="E312" s="45"/>
      <c r="F312" s="45"/>
      <c r="G312" s="45"/>
      <c r="H312" s="45"/>
      <c r="I312" s="45"/>
      <c r="J312" s="45"/>
    </row>
    <row r="313" spans="2:10" ht="15">
      <c r="B313" s="55" t="s">
        <v>18</v>
      </c>
      <c r="C313" s="57">
        <f>E309</f>
        <v>0.95138888888888884</v>
      </c>
      <c r="D313" s="1"/>
      <c r="E313" s="45"/>
      <c r="F313" s="45"/>
      <c r="G313" s="45"/>
      <c r="H313" s="45"/>
      <c r="I313" s="45"/>
      <c r="J313" s="45"/>
    </row>
    <row r="314" spans="2:10">
      <c r="B314" s="55" t="s">
        <v>11</v>
      </c>
      <c r="C314" s="48">
        <f>SQRT(C313/$G$260)</f>
        <v>0.4876958296133177</v>
      </c>
      <c r="D314" s="10"/>
      <c r="E314" s="58"/>
      <c r="F314" s="45"/>
      <c r="G314" s="45"/>
      <c r="H314" s="45"/>
      <c r="I314" s="45"/>
      <c r="J314" s="45"/>
    </row>
    <row r="315" spans="2:10">
      <c r="B315" s="55" t="s">
        <v>12</v>
      </c>
      <c r="C315" s="48">
        <f>TINV(1-$G$263,$D$278)</f>
        <v>2.2621571627982049</v>
      </c>
      <c r="D315" s="45"/>
      <c r="E315" s="45"/>
      <c r="F315" s="45"/>
      <c r="G315" s="45"/>
      <c r="H315" s="45"/>
      <c r="I315" s="45"/>
      <c r="J315" s="45"/>
    </row>
    <row r="316" spans="2:10">
      <c r="B316" s="55" t="s">
        <v>13</v>
      </c>
      <c r="C316" s="48">
        <f>C314*C315</f>
        <v>1.1032446142265795</v>
      </c>
      <c r="D316" s="59"/>
      <c r="E316" s="11"/>
      <c r="F316" s="60"/>
      <c r="G316" s="55"/>
      <c r="H316" s="10"/>
      <c r="I316" s="53"/>
      <c r="J316" s="45"/>
    </row>
    <row r="317" spans="2:10">
      <c r="B317" s="10"/>
      <c r="C317" s="10"/>
      <c r="D317" s="55"/>
      <c r="E317" s="55"/>
      <c r="F317" s="55"/>
      <c r="G317" s="55"/>
      <c r="H317" s="2"/>
      <c r="I317" s="53"/>
      <c r="J317" s="45"/>
    </row>
    <row r="318" spans="2:10">
      <c r="B318" s="57" t="s">
        <v>86</v>
      </c>
      <c r="C318" s="53"/>
      <c r="D318" s="1"/>
      <c r="E318" s="54"/>
      <c r="F318" s="54"/>
      <c r="G318" s="54"/>
      <c r="H318" s="53"/>
      <c r="I318" s="53"/>
      <c r="J318" s="45"/>
    </row>
    <row r="319" spans="2:10" ht="15">
      <c r="B319" s="55" t="s">
        <v>18</v>
      </c>
      <c r="C319" s="48">
        <f>(C308+C309)/(D308+D309)</f>
        <v>0.95138888888888884</v>
      </c>
      <c r="D319" s="6"/>
      <c r="E319" s="62"/>
      <c r="F319" s="62"/>
      <c r="G319" s="62"/>
      <c r="H319" s="55"/>
      <c r="I319" s="55"/>
      <c r="J319" s="45"/>
    </row>
    <row r="320" spans="2:10">
      <c r="B320" s="55" t="s">
        <v>11</v>
      </c>
      <c r="C320" s="48">
        <f>SQRT(C319/$G$260)</f>
        <v>0.4876958296133177</v>
      </c>
      <c r="D320" s="6"/>
      <c r="E320" s="62"/>
      <c r="F320" s="62"/>
      <c r="G320" s="62"/>
      <c r="H320" s="55"/>
      <c r="I320" s="55"/>
      <c r="J320" s="45"/>
    </row>
    <row r="321" spans="2:11">
      <c r="B321" s="55" t="s">
        <v>12</v>
      </c>
      <c r="C321" s="48">
        <f>TINV(1-$G$263,D308+D309)</f>
        <v>2.2621571627982049</v>
      </c>
      <c r="D321" s="6"/>
      <c r="E321" s="62"/>
      <c r="F321" s="62"/>
      <c r="G321" s="62"/>
      <c r="H321" s="55"/>
      <c r="I321" s="55"/>
      <c r="J321" s="45"/>
    </row>
    <row r="322" spans="2:11">
      <c r="B322" s="55" t="s">
        <v>13</v>
      </c>
      <c r="C322" s="48">
        <f>C320*C321</f>
        <v>1.1032446142265795</v>
      </c>
      <c r="D322" s="1"/>
      <c r="E322" s="54"/>
      <c r="F322" s="54"/>
      <c r="G322" s="62"/>
      <c r="H322" s="2"/>
      <c r="I322" s="45"/>
      <c r="J322" s="45"/>
    </row>
    <row r="323" spans="2:11">
      <c r="B323" s="10"/>
      <c r="C323" s="10"/>
      <c r="D323" s="10"/>
      <c r="E323" s="63"/>
      <c r="F323" s="63"/>
      <c r="G323" s="63"/>
      <c r="H323" s="10"/>
      <c r="I323" s="45"/>
      <c r="J323" s="45"/>
    </row>
    <row r="324" spans="2:11">
      <c r="B324" s="77"/>
      <c r="C324" s="77"/>
      <c r="D324" s="121"/>
      <c r="F324" s="77"/>
      <c r="G324" s="121"/>
    </row>
    <row r="325" spans="2:11">
      <c r="B325" s="77"/>
      <c r="C325" s="77"/>
      <c r="D325" s="121"/>
      <c r="F325" s="77"/>
      <c r="G325" s="121"/>
    </row>
    <row r="326" spans="2:11">
      <c r="B326" s="73"/>
      <c r="C326" s="73"/>
      <c r="D326" s="73"/>
      <c r="E326" s="14"/>
      <c r="F326" s="14"/>
      <c r="G326" s="14"/>
      <c r="H326" s="78"/>
    </row>
    <row r="327" spans="2:11">
      <c r="B327" s="73"/>
      <c r="C327" s="73"/>
      <c r="D327" s="73"/>
      <c r="E327" s="14"/>
      <c r="F327" s="14"/>
      <c r="G327" s="14"/>
      <c r="H327" s="78"/>
      <c r="I327" s="15"/>
      <c r="J327" s="15"/>
      <c r="K327" s="15"/>
    </row>
    <row r="328" spans="2:11">
      <c r="B328" s="73"/>
      <c r="C328" s="73"/>
      <c r="D328" s="73"/>
      <c r="E328" s="14"/>
      <c r="F328" s="14"/>
      <c r="G328" s="14"/>
      <c r="H328" s="78"/>
      <c r="I328" s="17"/>
      <c r="J328" s="15"/>
      <c r="K328" s="15"/>
    </row>
    <row r="329" spans="2:11">
      <c r="B329" s="73"/>
      <c r="C329" s="73"/>
      <c r="D329" s="73"/>
      <c r="E329" s="14"/>
      <c r="F329" s="14"/>
      <c r="G329" s="14"/>
      <c r="H329" s="78"/>
      <c r="I329" s="17"/>
      <c r="J329" s="15"/>
      <c r="K329" s="15"/>
    </row>
    <row r="330" spans="2:11">
      <c r="B330" s="73"/>
      <c r="C330" s="73"/>
      <c r="D330" s="73"/>
      <c r="E330" s="14"/>
      <c r="F330" s="14"/>
      <c r="G330" s="14"/>
      <c r="H330" s="78"/>
      <c r="I330" s="17"/>
      <c r="J330" s="15"/>
      <c r="K330" s="15"/>
    </row>
    <row r="331" spans="2:11">
      <c r="B331" s="73"/>
      <c r="C331" s="73"/>
      <c r="D331" s="73"/>
      <c r="E331" s="14"/>
      <c r="F331" s="14"/>
      <c r="G331" s="14"/>
      <c r="H331" s="78"/>
    </row>
    <row r="332" spans="2:11">
      <c r="B332" s="73"/>
      <c r="C332" s="73"/>
      <c r="D332" s="73"/>
      <c r="E332" s="14"/>
      <c r="F332" s="14"/>
      <c r="G332" s="14"/>
      <c r="H332" s="78"/>
      <c r="I332" s="125"/>
    </row>
    <row r="333" spans="2:11">
      <c r="B333" s="73"/>
      <c r="C333" s="73"/>
      <c r="D333" s="73"/>
      <c r="E333" s="14"/>
      <c r="F333" s="14"/>
      <c r="G333" s="14"/>
      <c r="H333" s="78"/>
      <c r="I333" s="125"/>
    </row>
    <row r="334" spans="2:11">
      <c r="B334" s="73"/>
      <c r="C334" s="73"/>
      <c r="D334" s="73"/>
      <c r="E334" s="14"/>
      <c r="F334" s="14"/>
      <c r="G334" s="14"/>
      <c r="H334" s="78"/>
      <c r="I334" s="125"/>
    </row>
    <row r="335" spans="2:11">
      <c r="B335" s="73"/>
      <c r="C335" s="73"/>
      <c r="D335" s="73"/>
      <c r="E335" s="14"/>
      <c r="F335" s="14"/>
      <c r="G335" s="14"/>
      <c r="H335" s="78"/>
      <c r="I335" s="125"/>
    </row>
    <row r="336" spans="2:11">
      <c r="D336" s="77"/>
      <c r="E336" s="78"/>
      <c r="F336" s="78"/>
      <c r="G336" s="78"/>
      <c r="H336" s="78"/>
      <c r="I336" s="115"/>
    </row>
    <row r="337" spans="2:9">
      <c r="E337" s="78"/>
      <c r="F337" s="78"/>
      <c r="G337" s="78"/>
      <c r="I337" s="115"/>
    </row>
    <row r="338" spans="2:9" ht="14">
      <c r="D338" s="128"/>
      <c r="E338" s="78"/>
      <c r="F338" s="78"/>
      <c r="G338" s="78"/>
      <c r="H338" s="78"/>
      <c r="I338" s="115"/>
    </row>
    <row r="339" spans="2:9">
      <c r="B339" s="77"/>
      <c r="C339" s="77"/>
      <c r="D339" s="77"/>
      <c r="E339" s="8"/>
      <c r="F339" s="8"/>
      <c r="G339" s="8"/>
      <c r="H339" s="8"/>
      <c r="I339" s="115"/>
    </row>
    <row r="340" spans="2:9">
      <c r="B340" s="77"/>
      <c r="C340" s="77"/>
      <c r="D340" s="77"/>
      <c r="E340" s="8"/>
      <c r="F340" s="8"/>
      <c r="G340" s="8"/>
      <c r="H340" s="8"/>
      <c r="I340" s="115"/>
    </row>
    <row r="341" spans="2:9">
      <c r="B341" s="77"/>
      <c r="C341" s="77"/>
      <c r="D341" s="77"/>
      <c r="E341" s="8"/>
      <c r="F341" s="8"/>
      <c r="G341" s="8"/>
      <c r="H341" s="8"/>
      <c r="I341" s="115"/>
    </row>
    <row r="342" spans="2:9">
      <c r="D342" s="77"/>
      <c r="E342" s="8"/>
      <c r="F342" s="8"/>
      <c r="G342" s="8"/>
      <c r="H342" s="8"/>
      <c r="I342" s="115"/>
    </row>
    <row r="343" spans="2:9">
      <c r="E343" s="78"/>
      <c r="F343" s="78"/>
      <c r="G343" s="78"/>
      <c r="H343" s="78"/>
    </row>
    <row r="344" spans="2:9">
      <c r="E344" s="78"/>
      <c r="F344" s="78"/>
      <c r="G344" s="78"/>
      <c r="I344" s="115"/>
    </row>
    <row r="345" spans="2:9" ht="14">
      <c r="D345" s="128"/>
      <c r="E345" s="78"/>
      <c r="F345" s="78"/>
      <c r="G345" s="78"/>
      <c r="H345" s="78"/>
      <c r="I345" s="115"/>
    </row>
    <row r="346" spans="2:9">
      <c r="B346" s="77"/>
      <c r="C346" s="77"/>
      <c r="D346" s="77"/>
      <c r="E346" s="78"/>
      <c r="F346" s="78"/>
      <c r="G346" s="78"/>
      <c r="H346" s="78"/>
      <c r="I346" s="115"/>
    </row>
    <row r="347" spans="2:9">
      <c r="B347" s="77"/>
      <c r="C347" s="77"/>
      <c r="D347" s="77"/>
      <c r="E347" s="78"/>
      <c r="F347" s="78"/>
      <c r="G347" s="78"/>
      <c r="H347" s="78"/>
      <c r="I347" s="115"/>
    </row>
    <row r="348" spans="2:9">
      <c r="B348" s="77"/>
      <c r="C348" s="77"/>
      <c r="D348" s="77"/>
      <c r="E348" s="78"/>
      <c r="F348" s="78"/>
      <c r="G348" s="78"/>
      <c r="H348" s="78"/>
      <c r="I348" s="115"/>
    </row>
    <row r="349" spans="2:9">
      <c r="D349" s="77"/>
      <c r="E349" s="78"/>
      <c r="F349" s="78"/>
      <c r="G349" s="78"/>
      <c r="H349" s="78"/>
      <c r="I349" s="129"/>
    </row>
    <row r="350" spans="2:9">
      <c r="E350" s="78"/>
      <c r="F350" s="78"/>
      <c r="G350" s="78"/>
      <c r="H350" s="78"/>
    </row>
    <row r="351" spans="2:9">
      <c r="E351" s="78"/>
      <c r="F351" s="78"/>
      <c r="G351" s="78"/>
      <c r="H351" s="115"/>
    </row>
    <row r="352" spans="2:9">
      <c r="D352" s="77"/>
      <c r="E352" s="78"/>
      <c r="F352" s="78"/>
      <c r="G352" s="78"/>
      <c r="H352" s="115"/>
    </row>
    <row r="353" spans="2:10">
      <c r="B353" s="77"/>
      <c r="C353" s="77"/>
      <c r="D353" s="77"/>
      <c r="E353" s="78"/>
      <c r="F353" s="78"/>
      <c r="G353" s="78"/>
      <c r="I353" s="130"/>
      <c r="J353" s="130"/>
    </row>
    <row r="354" spans="2:10">
      <c r="B354" s="77"/>
      <c r="C354" s="77"/>
      <c r="D354" s="77"/>
      <c r="E354" s="78"/>
      <c r="F354" s="78"/>
      <c r="G354" s="78"/>
      <c r="I354" s="130"/>
      <c r="J354" s="130"/>
    </row>
    <row r="355" spans="2:10">
      <c r="B355" s="77"/>
      <c r="C355" s="77"/>
      <c r="D355" s="77"/>
      <c r="E355" s="78"/>
      <c r="F355" s="78"/>
      <c r="G355" s="78"/>
      <c r="I355" s="130"/>
      <c r="J355" s="130"/>
    </row>
    <row r="356" spans="2:10">
      <c r="E356" s="78"/>
      <c r="F356" s="78"/>
      <c r="G356" s="78"/>
      <c r="H356" s="78"/>
    </row>
    <row r="357" spans="2:10">
      <c r="B357" s="77"/>
      <c r="C357" s="77"/>
      <c r="D357" s="121"/>
      <c r="E357" s="77"/>
      <c r="F357" s="16"/>
    </row>
    <row r="359" spans="2:10" ht="14">
      <c r="B359" s="111"/>
      <c r="C359" s="111"/>
    </row>
    <row r="360" spans="2:10">
      <c r="B360" s="78"/>
      <c r="C360" s="78"/>
      <c r="D360" s="78"/>
    </row>
    <row r="361" spans="2:10">
      <c r="B361" s="77"/>
      <c r="C361" s="77"/>
    </row>
    <row r="362" spans="2:10">
      <c r="B362" s="77"/>
      <c r="C362" s="77"/>
    </row>
    <row r="363" spans="2:10">
      <c r="B363" s="77"/>
      <c r="C363" s="77"/>
    </row>
    <row r="364" spans="2:10">
      <c r="B364" s="78"/>
      <c r="C364" s="78"/>
      <c r="D364" s="78"/>
    </row>
    <row r="365" spans="2:10">
      <c r="B365" s="121"/>
      <c r="C365" s="121"/>
      <c r="D365" s="121"/>
      <c r="E365" s="115"/>
    </row>
    <row r="366" spans="2:10">
      <c r="B366" s="121"/>
      <c r="C366" s="121"/>
      <c r="D366" s="121"/>
    </row>
    <row r="368" spans="2:10" ht="14">
      <c r="B368" s="131"/>
      <c r="C368" s="131"/>
      <c r="D368" s="123"/>
      <c r="E368" s="132"/>
      <c r="F368" s="133"/>
      <c r="G368" s="77"/>
      <c r="H368" s="16"/>
    </row>
    <row r="369" spans="2:9">
      <c r="B369" s="134"/>
      <c r="C369" s="134"/>
      <c r="D369" s="76"/>
      <c r="E369" s="76"/>
      <c r="F369" s="76"/>
      <c r="G369" s="76"/>
      <c r="H369" s="124"/>
      <c r="I369" s="78"/>
    </row>
    <row r="370" spans="2:9">
      <c r="B370" s="135"/>
      <c r="C370" s="135"/>
      <c r="D370" s="8"/>
      <c r="E370" s="136"/>
      <c r="F370" s="136"/>
      <c r="G370" s="136"/>
      <c r="H370" s="78"/>
      <c r="I370" s="78"/>
    </row>
    <row r="371" spans="2:9">
      <c r="B371" s="75"/>
      <c r="C371" s="75"/>
      <c r="D371" s="15"/>
      <c r="E371" s="76"/>
      <c r="F371" s="76"/>
      <c r="G371" s="76"/>
      <c r="H371" s="77"/>
      <c r="I371" s="78"/>
    </row>
    <row r="372" spans="2:9">
      <c r="B372" s="75"/>
      <c r="C372" s="75"/>
      <c r="D372" s="15"/>
      <c r="E372" s="76"/>
      <c r="F372" s="76"/>
      <c r="G372" s="76"/>
      <c r="H372" s="77"/>
      <c r="I372" s="78"/>
    </row>
    <row r="373" spans="2:9">
      <c r="B373" s="75"/>
      <c r="C373" s="75"/>
      <c r="D373" s="15"/>
      <c r="E373" s="76"/>
      <c r="F373" s="76"/>
      <c r="G373" s="76"/>
      <c r="H373" s="77"/>
      <c r="I373" s="78"/>
    </row>
    <row r="374" spans="2:9">
      <c r="B374" s="135"/>
      <c r="C374" s="135"/>
      <c r="D374" s="8"/>
      <c r="E374" s="136"/>
      <c r="F374" s="136"/>
      <c r="G374" s="76"/>
      <c r="H374" s="124"/>
    </row>
    <row r="375" spans="2:9">
      <c r="B375" s="134"/>
      <c r="C375" s="134"/>
      <c r="D375" s="134"/>
      <c r="E375" s="137"/>
      <c r="F375" s="137"/>
      <c r="G375" s="137"/>
      <c r="H375" s="16"/>
    </row>
    <row r="377" spans="2:9" ht="14">
      <c r="B377" s="111"/>
      <c r="C377" s="111"/>
    </row>
    <row r="378" spans="2:9">
      <c r="B378" s="77"/>
      <c r="C378" s="77"/>
      <c r="D378" s="112"/>
    </row>
    <row r="379" spans="2:9">
      <c r="B379" s="77"/>
      <c r="C379" s="77"/>
      <c r="D379" s="112"/>
    </row>
    <row r="380" spans="2:9">
      <c r="B380" s="121"/>
      <c r="C380" s="121"/>
      <c r="F380" s="121"/>
    </row>
    <row r="381" spans="2:9">
      <c r="B381" s="77"/>
      <c r="C381" s="77"/>
      <c r="D381" s="121"/>
      <c r="F381" s="77"/>
      <c r="G381" s="121"/>
    </row>
    <row r="382" spans="2:9">
      <c r="B382" s="77"/>
      <c r="C382" s="77"/>
      <c r="D382" s="121"/>
      <c r="F382" s="77"/>
      <c r="G382" s="121"/>
    </row>
    <row r="383" spans="2:9">
      <c r="B383" s="77"/>
      <c r="C383" s="77"/>
      <c r="D383" s="121"/>
      <c r="F383" s="77"/>
      <c r="G383" s="121"/>
    </row>
    <row r="385" spans="2:9">
      <c r="B385" s="121"/>
      <c r="C385" s="121"/>
      <c r="F385" s="121"/>
    </row>
    <row r="386" spans="2:9">
      <c r="B386" s="77"/>
      <c r="C386" s="77"/>
      <c r="D386" s="121"/>
      <c r="F386" s="77"/>
      <c r="G386" s="121"/>
    </row>
    <row r="387" spans="2:9">
      <c r="B387" s="77"/>
      <c r="C387" s="77"/>
      <c r="D387" s="121"/>
      <c r="F387" s="77"/>
      <c r="G387" s="121"/>
    </row>
    <row r="388" spans="2:9">
      <c r="B388" s="77"/>
      <c r="C388" s="77"/>
      <c r="D388" s="121"/>
      <c r="F388" s="77"/>
      <c r="G388" s="121"/>
    </row>
    <row r="390" spans="2:9">
      <c r="B390" s="138"/>
      <c r="C390" s="138"/>
      <c r="D390" s="138"/>
      <c r="E390" s="138"/>
      <c r="F390" s="138"/>
      <c r="G390" s="138"/>
      <c r="H390" s="139"/>
      <c r="I390" s="122"/>
    </row>
    <row r="392" spans="2:9" ht="14">
      <c r="B392" s="131"/>
      <c r="C392" s="131"/>
      <c r="D392" s="123"/>
      <c r="E392" s="132"/>
      <c r="F392" s="133"/>
      <c r="G392" s="77"/>
      <c r="H392" s="16"/>
    </row>
    <row r="393" spans="2:9">
      <c r="B393" s="134"/>
      <c r="C393" s="134"/>
      <c r="D393" s="76"/>
      <c r="E393" s="76"/>
      <c r="F393" s="76"/>
      <c r="G393" s="76"/>
      <c r="H393" s="124"/>
      <c r="I393" s="78"/>
    </row>
    <row r="394" spans="2:9">
      <c r="B394" s="135"/>
      <c r="C394" s="135"/>
      <c r="D394" s="8"/>
      <c r="E394" s="136"/>
      <c r="F394" s="136"/>
      <c r="G394" s="136"/>
      <c r="H394" s="78"/>
      <c r="I394" s="78"/>
    </row>
    <row r="395" spans="2:9">
      <c r="B395" s="75"/>
      <c r="C395" s="75"/>
      <c r="D395" s="15"/>
      <c r="E395" s="76"/>
      <c r="F395" s="76"/>
      <c r="G395" s="76"/>
      <c r="H395" s="77"/>
      <c r="I395" s="78"/>
    </row>
    <row r="396" spans="2:9">
      <c r="B396" s="75"/>
      <c r="C396" s="75"/>
      <c r="D396" s="15"/>
      <c r="E396" s="76"/>
      <c r="F396" s="76"/>
      <c r="G396" s="76"/>
      <c r="H396" s="77"/>
      <c r="I396" s="78"/>
    </row>
    <row r="397" spans="2:9">
      <c r="B397" s="75"/>
      <c r="C397" s="75"/>
      <c r="D397" s="15"/>
      <c r="E397" s="76"/>
      <c r="F397" s="76"/>
      <c r="G397" s="76"/>
      <c r="H397" s="77"/>
      <c r="I397" s="78"/>
    </row>
    <row r="398" spans="2:9">
      <c r="B398" s="135"/>
      <c r="C398" s="135"/>
      <c r="D398" s="8"/>
      <c r="E398" s="136"/>
      <c r="F398" s="136"/>
      <c r="G398" s="76"/>
      <c r="H398" s="124"/>
    </row>
    <row r="399" spans="2:9">
      <c r="B399" s="134"/>
      <c r="C399" s="134"/>
      <c r="D399" s="134"/>
      <c r="E399" s="137"/>
      <c r="F399" s="137"/>
      <c r="G399" s="137"/>
      <c r="H399" s="16"/>
    </row>
    <row r="400" spans="2:9">
      <c r="B400" s="134"/>
      <c r="C400" s="134"/>
      <c r="D400" s="134"/>
      <c r="E400" s="137"/>
      <c r="F400" s="137"/>
      <c r="G400" s="137"/>
      <c r="H400" s="16"/>
    </row>
    <row r="402" spans="1:8" ht="14">
      <c r="A402" s="18"/>
      <c r="B402" s="65"/>
      <c r="C402" s="65"/>
      <c r="D402" s="74"/>
      <c r="E402" s="74"/>
      <c r="F402" s="74"/>
      <c r="G402" s="74"/>
      <c r="H402" s="65"/>
    </row>
    <row r="403" spans="1:8" ht="14">
      <c r="A403" s="23"/>
      <c r="B403" s="79"/>
      <c r="C403" s="79"/>
      <c r="D403" s="73"/>
      <c r="E403" s="12"/>
      <c r="F403" s="73"/>
      <c r="G403" s="12"/>
      <c r="H403" s="65"/>
    </row>
    <row r="404" spans="1:8">
      <c r="B404" s="65"/>
      <c r="C404" s="65"/>
      <c r="D404" s="73"/>
      <c r="E404" s="12"/>
      <c r="F404" s="73"/>
      <c r="G404" s="12"/>
      <c r="H404" s="65"/>
    </row>
    <row r="405" spans="1:8">
      <c r="B405" s="65"/>
      <c r="C405" s="65"/>
      <c r="D405" s="73"/>
      <c r="E405" s="12"/>
      <c r="F405" s="73"/>
      <c r="G405" s="12"/>
      <c r="H405" s="65"/>
    </row>
    <row r="406" spans="1:8">
      <c r="B406" s="65"/>
      <c r="C406" s="65"/>
      <c r="D406" s="73"/>
      <c r="E406" s="12"/>
      <c r="F406" s="73"/>
      <c r="G406" s="12"/>
      <c r="H406" s="65"/>
    </row>
    <row r="407" spans="1:8">
      <c r="B407" s="65"/>
      <c r="C407" s="65"/>
      <c r="D407" s="74"/>
      <c r="E407" s="74"/>
      <c r="F407" s="74"/>
      <c r="G407" s="74"/>
      <c r="H407" s="65"/>
    </row>
    <row r="408" spans="1:8" ht="14">
      <c r="A408" s="18"/>
      <c r="B408" s="79"/>
      <c r="C408" s="79"/>
      <c r="D408" s="73"/>
      <c r="E408" s="12"/>
      <c r="F408" s="73"/>
      <c r="G408" s="12"/>
      <c r="H408" s="65"/>
    </row>
    <row r="409" spans="1:8">
      <c r="B409" s="65"/>
      <c r="C409" s="65"/>
      <c r="D409" s="73"/>
      <c r="E409" s="12"/>
      <c r="F409" s="73"/>
      <c r="G409" s="12"/>
      <c r="H409" s="65"/>
    </row>
    <row r="410" spans="1:8">
      <c r="B410" s="65"/>
      <c r="C410" s="65"/>
      <c r="D410" s="73"/>
      <c r="E410" s="12"/>
      <c r="F410" s="73"/>
      <c r="G410" s="12"/>
      <c r="H410" s="65"/>
    </row>
    <row r="411" spans="1:8">
      <c r="A411" s="23"/>
      <c r="B411" s="64"/>
      <c r="C411" s="64"/>
      <c r="D411" s="64"/>
      <c r="E411" s="140"/>
      <c r="F411" s="64"/>
      <c r="G411" s="64"/>
      <c r="H411" s="64"/>
    </row>
    <row r="412" spans="1:8">
      <c r="B412" s="64"/>
      <c r="C412" s="64"/>
      <c r="D412" s="126"/>
      <c r="E412" s="14"/>
      <c r="F412" s="14"/>
      <c r="G412" s="14"/>
      <c r="H412" s="64"/>
    </row>
    <row r="413" spans="1:8">
      <c r="B413" s="64"/>
      <c r="C413" s="64"/>
      <c r="D413" s="64"/>
      <c r="E413" s="14"/>
      <c r="F413" s="14"/>
      <c r="G413" s="14"/>
      <c r="H413" s="64"/>
    </row>
    <row r="414" spans="1:8">
      <c r="B414" s="73"/>
      <c r="C414" s="73"/>
      <c r="D414" s="12"/>
      <c r="E414" s="73"/>
      <c r="F414" s="12"/>
      <c r="G414" s="127"/>
      <c r="H414" s="141"/>
    </row>
    <row r="415" spans="1:8">
      <c r="B415" s="127"/>
      <c r="C415" s="127"/>
      <c r="D415" s="127"/>
      <c r="E415" s="74"/>
      <c r="F415" s="74"/>
      <c r="G415" s="74"/>
      <c r="H415" s="141"/>
    </row>
    <row r="416" spans="1:8" ht="14">
      <c r="B416" s="127"/>
      <c r="C416" s="127"/>
      <c r="D416" s="79"/>
      <c r="E416" s="74"/>
      <c r="F416" s="74"/>
      <c r="G416" s="74"/>
      <c r="H416" s="141"/>
    </row>
    <row r="417" spans="2:9">
      <c r="B417" s="73"/>
      <c r="C417" s="73"/>
      <c r="D417" s="73"/>
      <c r="E417" s="14"/>
      <c r="F417" s="14"/>
      <c r="G417" s="14"/>
      <c r="H417" s="141"/>
    </row>
    <row r="418" spans="2:9">
      <c r="B418" s="73"/>
      <c r="C418" s="73"/>
      <c r="D418" s="73"/>
      <c r="E418" s="14"/>
      <c r="F418" s="14"/>
      <c r="G418" s="14"/>
      <c r="H418" s="141"/>
    </row>
    <row r="419" spans="2:9">
      <c r="B419" s="73"/>
      <c r="C419" s="73"/>
      <c r="D419" s="73"/>
      <c r="E419" s="14"/>
      <c r="F419" s="14"/>
      <c r="G419" s="14"/>
      <c r="H419" s="64"/>
    </row>
    <row r="420" spans="2:9">
      <c r="B420" s="73"/>
      <c r="C420" s="73"/>
      <c r="D420" s="73"/>
      <c r="E420" s="14"/>
      <c r="F420" s="14"/>
      <c r="G420" s="14"/>
      <c r="H420" s="12"/>
    </row>
    <row r="421" spans="2:9">
      <c r="B421" s="73"/>
      <c r="C421" s="73"/>
      <c r="D421" s="73"/>
      <c r="E421" s="14"/>
      <c r="F421" s="14"/>
      <c r="G421" s="14"/>
      <c r="H421" s="64"/>
    </row>
    <row r="422" spans="2:9">
      <c r="B422" s="73"/>
      <c r="C422" s="73"/>
      <c r="D422" s="73"/>
      <c r="E422" s="14"/>
      <c r="F422" s="14"/>
      <c r="G422" s="14"/>
      <c r="H422" s="141"/>
    </row>
    <row r="423" spans="2:9">
      <c r="B423" s="73"/>
      <c r="C423" s="73"/>
      <c r="D423" s="73"/>
      <c r="E423" s="14"/>
      <c r="F423" s="14"/>
      <c r="G423" s="14"/>
      <c r="H423" s="141"/>
    </row>
    <row r="424" spans="2:9">
      <c r="B424" s="73"/>
      <c r="C424" s="73"/>
      <c r="D424" s="73"/>
      <c r="E424" s="14"/>
      <c r="F424" s="14"/>
      <c r="G424" s="14"/>
      <c r="H424" s="141"/>
    </row>
    <row r="425" spans="2:9">
      <c r="B425" s="73"/>
      <c r="C425" s="73"/>
      <c r="D425" s="73"/>
      <c r="E425" s="14"/>
      <c r="F425" s="14"/>
      <c r="G425" s="14"/>
      <c r="H425" s="64"/>
    </row>
    <row r="426" spans="2:9">
      <c r="B426" s="73"/>
      <c r="C426" s="73"/>
      <c r="D426" s="73"/>
      <c r="E426" s="14"/>
      <c r="F426" s="14"/>
      <c r="G426" s="14"/>
      <c r="H426" s="12"/>
    </row>
    <row r="427" spans="2:9">
      <c r="B427" s="73"/>
      <c r="C427" s="73"/>
      <c r="D427" s="73"/>
      <c r="E427" s="14"/>
      <c r="F427" s="14"/>
      <c r="G427" s="14"/>
      <c r="H427" s="64"/>
    </row>
    <row r="428" spans="2:9">
      <c r="B428" s="73"/>
      <c r="C428" s="73"/>
      <c r="D428" s="73"/>
      <c r="E428" s="14"/>
      <c r="F428" s="14"/>
      <c r="G428" s="14"/>
      <c r="H428" s="141"/>
    </row>
    <row r="429" spans="2:9">
      <c r="B429" s="73"/>
      <c r="C429" s="73"/>
      <c r="D429" s="73"/>
      <c r="E429" s="142"/>
      <c r="F429" s="142"/>
      <c r="G429" s="142"/>
      <c r="H429" s="64"/>
      <c r="I429" s="129"/>
    </row>
    <row r="430" spans="2:9">
      <c r="B430" s="73"/>
      <c r="C430" s="73"/>
      <c r="D430" s="73"/>
      <c r="E430" s="14"/>
      <c r="F430" s="14"/>
      <c r="G430" s="14"/>
      <c r="H430" s="12"/>
      <c r="I430" s="129"/>
    </row>
    <row r="431" spans="2:9">
      <c r="B431" s="73"/>
      <c r="C431" s="73"/>
      <c r="D431" s="73"/>
      <c r="E431" s="142"/>
      <c r="F431" s="142"/>
      <c r="G431" s="142"/>
      <c r="H431" s="64"/>
      <c r="I431" s="130"/>
    </row>
    <row r="432" spans="2:9">
      <c r="B432" s="77"/>
      <c r="C432" s="77"/>
      <c r="D432" s="76"/>
      <c r="E432" s="143"/>
      <c r="F432" s="143"/>
      <c r="G432" s="143"/>
      <c r="H432" s="144"/>
      <c r="I432" s="130"/>
    </row>
    <row r="433" spans="2:9">
      <c r="B433" s="77"/>
      <c r="C433" s="77"/>
      <c r="D433" s="76"/>
      <c r="E433" s="125"/>
      <c r="F433" s="136"/>
      <c r="H433" s="144"/>
      <c r="I433" s="130"/>
    </row>
    <row r="434" spans="2:9">
      <c r="B434" s="77"/>
      <c r="C434" s="77"/>
      <c r="D434" s="76"/>
      <c r="F434" s="78"/>
      <c r="H434" s="144"/>
      <c r="I434" s="130"/>
    </row>
    <row r="435" spans="2:9">
      <c r="B435" s="77"/>
      <c r="C435" s="77"/>
      <c r="D435" s="76"/>
      <c r="F435" s="78"/>
      <c r="G435" s="80"/>
      <c r="H435" s="144"/>
      <c r="I435" s="130"/>
    </row>
    <row r="436" spans="2:9">
      <c r="B436" s="125"/>
      <c r="C436" s="125"/>
      <c r="D436" s="125"/>
      <c r="E436" s="78"/>
      <c r="F436" s="78"/>
      <c r="G436" s="78"/>
      <c r="H436" s="137"/>
    </row>
    <row r="437" spans="2:9" ht="14">
      <c r="B437" s="125"/>
      <c r="C437" s="125"/>
      <c r="D437" s="128"/>
      <c r="E437" s="78"/>
      <c r="F437" s="78"/>
      <c r="G437" s="78"/>
      <c r="H437" s="137"/>
    </row>
    <row r="438" spans="2:9">
      <c r="B438" s="77"/>
      <c r="C438" s="77"/>
      <c r="D438" s="76"/>
      <c r="E438" s="81"/>
      <c r="F438" s="81"/>
      <c r="G438" s="81"/>
      <c r="H438" s="144"/>
      <c r="I438" s="130"/>
    </row>
    <row r="439" spans="2:9">
      <c r="B439" s="77"/>
      <c r="C439" s="77"/>
      <c r="D439" s="76"/>
      <c r="E439" s="8"/>
      <c r="F439" s="8"/>
      <c r="G439" s="8"/>
      <c r="H439" s="144"/>
      <c r="I439" s="130"/>
    </row>
    <row r="440" spans="2:9">
      <c r="B440" s="77"/>
      <c r="C440" s="77"/>
      <c r="D440" s="76"/>
      <c r="E440" s="81"/>
      <c r="F440" s="81"/>
      <c r="G440" s="81"/>
      <c r="H440" s="144"/>
      <c r="I440" s="130"/>
    </row>
    <row r="441" spans="2:9">
      <c r="B441" s="77"/>
      <c r="C441" s="77"/>
      <c r="D441" s="76"/>
      <c r="E441" s="81"/>
      <c r="F441" s="81"/>
      <c r="G441" s="81"/>
      <c r="H441" s="144"/>
      <c r="I441" s="130"/>
    </row>
    <row r="442" spans="2:9">
      <c r="B442" s="77"/>
      <c r="C442" s="77"/>
      <c r="D442" s="76"/>
      <c r="E442" s="8"/>
      <c r="F442" s="8"/>
      <c r="G442" s="8"/>
      <c r="H442" s="144"/>
      <c r="I442" s="130"/>
    </row>
    <row r="443" spans="2:9">
      <c r="B443" s="77"/>
      <c r="C443" s="77"/>
      <c r="D443" s="76"/>
      <c r="E443" s="81"/>
      <c r="F443" s="81"/>
      <c r="G443" s="81"/>
      <c r="H443" s="144"/>
      <c r="I443" s="130"/>
    </row>
    <row r="444" spans="2:9">
      <c r="B444" s="77"/>
      <c r="C444" s="77"/>
      <c r="D444" s="76"/>
      <c r="E444" s="143"/>
      <c r="F444" s="143"/>
      <c r="G444" s="143"/>
      <c r="H444" s="144"/>
      <c r="I444" s="130"/>
    </row>
    <row r="445" spans="2:9">
      <c r="E445" s="78"/>
      <c r="F445" s="78"/>
      <c r="G445" s="78"/>
      <c r="I445" s="115"/>
    </row>
    <row r="446" spans="2:9" ht="14">
      <c r="D446" s="128"/>
      <c r="E446" s="78"/>
      <c r="F446" s="78"/>
      <c r="G446" s="78"/>
      <c r="H446" s="78"/>
      <c r="I446" s="115"/>
    </row>
    <row r="447" spans="2:9">
      <c r="B447" s="77"/>
      <c r="C447" s="77"/>
      <c r="D447" s="77"/>
      <c r="E447" s="78"/>
      <c r="F447" s="78"/>
      <c r="G447" s="78"/>
      <c r="H447" s="81"/>
      <c r="I447" s="115"/>
    </row>
    <row r="448" spans="2:9">
      <c r="B448" s="77"/>
      <c r="C448" s="77"/>
      <c r="D448" s="77"/>
      <c r="E448" s="78"/>
      <c r="F448" s="78"/>
      <c r="G448" s="78"/>
      <c r="H448" s="81"/>
      <c r="I448" s="115"/>
    </row>
    <row r="449" spans="2:9">
      <c r="D449" s="77"/>
      <c r="E449" s="81"/>
      <c r="F449" s="81"/>
      <c r="G449" s="81"/>
      <c r="H449" s="81"/>
      <c r="I449" s="129"/>
    </row>
    <row r="450" spans="2:9">
      <c r="E450" s="78"/>
      <c r="F450" s="78"/>
      <c r="G450" s="78"/>
      <c r="H450" s="78"/>
    </row>
    <row r="451" spans="2:9">
      <c r="E451" s="78"/>
      <c r="F451" s="78"/>
      <c r="G451" s="78"/>
      <c r="H451" s="115"/>
    </row>
    <row r="452" spans="2:9">
      <c r="D452" s="77"/>
      <c r="E452" s="78"/>
      <c r="F452" s="78"/>
      <c r="G452" s="78"/>
      <c r="H452" s="115"/>
    </row>
    <row r="453" spans="2:9">
      <c r="B453" s="77"/>
      <c r="C453" s="77"/>
      <c r="D453" s="77"/>
      <c r="E453" s="78"/>
      <c r="F453" s="78"/>
      <c r="G453" s="78"/>
      <c r="H453" s="78"/>
    </row>
    <row r="454" spans="2:9">
      <c r="B454" s="77"/>
      <c r="C454" s="77"/>
      <c r="D454" s="77"/>
      <c r="E454" s="78"/>
      <c r="F454" s="78"/>
      <c r="G454" s="78"/>
    </row>
    <row r="455" spans="2:9">
      <c r="E455" s="78"/>
      <c r="F455" s="78"/>
      <c r="G455" s="78"/>
    </row>
    <row r="456" spans="2:9" ht="14">
      <c r="B456" s="111"/>
      <c r="C456" s="111"/>
      <c r="D456" s="121"/>
    </row>
    <row r="457" spans="2:9">
      <c r="B457" s="78"/>
      <c r="C457" s="78"/>
      <c r="D457" s="81"/>
      <c r="E457" s="8"/>
    </row>
    <row r="458" spans="2:9">
      <c r="B458" s="77"/>
      <c r="C458" s="77"/>
      <c r="D458" s="145"/>
      <c r="E458" s="15"/>
      <c r="F458" s="146"/>
    </row>
    <row r="459" spans="2:9">
      <c r="B459" s="77"/>
      <c r="C459" s="77"/>
      <c r="D459" s="145"/>
      <c r="E459" s="15"/>
      <c r="F459" s="146"/>
    </row>
    <row r="460" spans="2:9">
      <c r="B460" s="77"/>
      <c r="C460" s="77"/>
      <c r="D460" s="145"/>
      <c r="E460" s="15"/>
      <c r="F460" s="146"/>
    </row>
    <row r="461" spans="2:9">
      <c r="B461" s="78"/>
      <c r="C461" s="78"/>
      <c r="D461" s="81"/>
      <c r="E461" s="8"/>
      <c r="F461" s="81"/>
    </row>
  </sheetData>
  <mergeCells count="22">
    <mergeCell ref="I230:I232"/>
    <mergeCell ref="E7:G7"/>
    <mergeCell ref="E52:I52"/>
    <mergeCell ref="E97:I97"/>
    <mergeCell ref="E141:H141"/>
    <mergeCell ref="E149:H149"/>
    <mergeCell ref="D295:D298"/>
    <mergeCell ref="D299:D302"/>
    <mergeCell ref="I154:I156"/>
    <mergeCell ref="I158:I160"/>
    <mergeCell ref="E266:H266"/>
    <mergeCell ref="D268:D271"/>
    <mergeCell ref="E293:H293"/>
    <mergeCell ref="I162:I164"/>
    <mergeCell ref="I166:I168"/>
    <mergeCell ref="I170:I172"/>
    <mergeCell ref="E201:H201"/>
    <mergeCell ref="E209:H209"/>
    <mergeCell ref="I214:I216"/>
    <mergeCell ref="I218:I220"/>
    <mergeCell ref="I222:I224"/>
    <mergeCell ref="I226:I228"/>
  </mergeCells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5"/>
  <sheetViews>
    <sheetView tabSelected="1" topLeftCell="A164" workbookViewId="0">
      <selection activeCell="C211" sqref="C211"/>
    </sheetView>
  </sheetViews>
  <sheetFormatPr baseColWidth="10" defaultRowHeight="13" x14ac:dyDescent="0"/>
  <cols>
    <col min="1" max="1" width="10.42578125" style="235" customWidth="1"/>
    <col min="2" max="2" width="15.42578125" style="217" customWidth="1"/>
    <col min="3" max="4" width="12.85546875" style="217" customWidth="1"/>
    <col min="5" max="13" width="11.5703125" style="217" customWidth="1"/>
    <col min="14" max="16384" width="10.7109375" style="217"/>
  </cols>
  <sheetData>
    <row r="1" spans="1:9">
      <c r="A1" s="213" t="s">
        <v>219</v>
      </c>
      <c r="B1" s="214"/>
      <c r="C1" s="215"/>
      <c r="D1" s="215"/>
      <c r="E1" s="215"/>
      <c r="F1" s="215"/>
      <c r="G1" s="215"/>
      <c r="H1" s="215"/>
      <c r="I1" s="216"/>
    </row>
    <row r="2" spans="1:9">
      <c r="A2" s="218"/>
      <c r="B2" s="219" t="s">
        <v>220</v>
      </c>
      <c r="C2" s="220"/>
      <c r="D2" s="221"/>
      <c r="E2" s="221"/>
      <c r="F2" s="221"/>
      <c r="G2" s="221"/>
      <c r="H2" s="221"/>
      <c r="I2" s="222"/>
    </row>
    <row r="3" spans="1:9" ht="15">
      <c r="A3" s="218"/>
      <c r="B3" s="223" t="s">
        <v>221</v>
      </c>
      <c r="C3" s="220"/>
      <c r="D3" s="221"/>
      <c r="E3" s="221"/>
      <c r="F3" s="221"/>
      <c r="G3" s="221"/>
      <c r="H3" s="221"/>
      <c r="I3" s="222"/>
    </row>
    <row r="4" spans="1:9" ht="16">
      <c r="A4" s="218"/>
      <c r="B4" s="220" t="s">
        <v>222</v>
      </c>
      <c r="C4" s="220"/>
      <c r="D4" s="221"/>
      <c r="E4" s="221"/>
      <c r="F4" s="221"/>
      <c r="G4" s="221"/>
      <c r="H4" s="221"/>
      <c r="I4" s="222"/>
    </row>
    <row r="5" spans="1:9">
      <c r="A5" s="218"/>
      <c r="B5" s="224"/>
      <c r="C5" s="224"/>
      <c r="D5" s="225"/>
      <c r="E5" s="225"/>
      <c r="F5" s="225"/>
      <c r="G5" s="225"/>
      <c r="H5" s="225"/>
      <c r="I5" s="226"/>
    </row>
    <row r="6" spans="1:9">
      <c r="A6" s="218"/>
      <c r="B6" s="219" t="s">
        <v>223</v>
      </c>
      <c r="C6" s="220"/>
      <c r="D6" s="221"/>
      <c r="E6" s="221"/>
      <c r="F6" s="221"/>
      <c r="G6" s="221"/>
      <c r="H6" s="221"/>
      <c r="I6" s="222"/>
    </row>
    <row r="7" spans="1:9">
      <c r="A7" s="218"/>
      <c r="B7" s="220" t="s">
        <v>224</v>
      </c>
      <c r="C7" s="220"/>
      <c r="D7" s="221"/>
      <c r="E7" s="221"/>
      <c r="F7" s="221"/>
      <c r="G7" s="221"/>
      <c r="H7" s="221"/>
      <c r="I7" s="222"/>
    </row>
    <row r="8" spans="1:9">
      <c r="A8" s="218"/>
      <c r="B8" s="220" t="s">
        <v>225</v>
      </c>
      <c r="C8" s="220"/>
      <c r="D8" s="221"/>
      <c r="E8" s="221"/>
      <c r="F8" s="221"/>
      <c r="G8" s="221"/>
      <c r="H8" s="221"/>
      <c r="I8" s="222"/>
    </row>
    <row r="9" spans="1:9" ht="16" thickBot="1">
      <c r="A9" s="227"/>
      <c r="B9" s="228" t="s">
        <v>226</v>
      </c>
      <c r="C9" s="228"/>
      <c r="D9" s="229"/>
      <c r="E9" s="229"/>
      <c r="F9" s="229"/>
      <c r="G9" s="229"/>
      <c r="H9" s="229"/>
      <c r="I9" s="230"/>
    </row>
    <row r="11" spans="1:9" ht="15">
      <c r="A11" s="231" t="s">
        <v>227</v>
      </c>
      <c r="B11" s="31" t="s">
        <v>228</v>
      </c>
      <c r="C11" s="32">
        <v>24</v>
      </c>
      <c r="D11" s="31" t="s">
        <v>229</v>
      </c>
      <c r="E11" s="232">
        <v>0.25</v>
      </c>
      <c r="F11" s="233"/>
      <c r="G11" s="234"/>
    </row>
    <row r="12" spans="1:9" ht="15">
      <c r="A12" s="217"/>
      <c r="B12" s="31" t="s">
        <v>230</v>
      </c>
      <c r="C12" s="32">
        <v>3.5</v>
      </c>
      <c r="D12" s="31" t="s">
        <v>231</v>
      </c>
      <c r="E12" s="232">
        <v>0.04</v>
      </c>
      <c r="F12" s="233"/>
      <c r="G12" s="234"/>
    </row>
    <row r="13" spans="1:9">
      <c r="A13" s="217"/>
      <c r="B13" s="41"/>
      <c r="C13" s="116" t="s">
        <v>232</v>
      </c>
      <c r="D13" s="232">
        <v>0.5</v>
      </c>
      <c r="E13" s="232"/>
      <c r="F13" s="233"/>
      <c r="G13" s="234"/>
    </row>
    <row r="14" spans="1:9">
      <c r="B14" s="236"/>
      <c r="C14" s="236"/>
      <c r="D14" s="236"/>
      <c r="E14" s="236"/>
      <c r="F14" s="237"/>
      <c r="G14" s="238"/>
    </row>
    <row r="15" spans="1:9">
      <c r="B15" s="239" t="s">
        <v>233</v>
      </c>
      <c r="C15" s="240" t="s">
        <v>234</v>
      </c>
      <c r="D15" s="241" t="s">
        <v>235</v>
      </c>
      <c r="E15" s="240" t="s">
        <v>236</v>
      </c>
      <c r="F15" s="241" t="s">
        <v>237</v>
      </c>
      <c r="G15" s="242"/>
      <c r="H15" s="234"/>
    </row>
    <row r="16" spans="1:9" ht="14">
      <c r="B16" s="243">
        <v>1</v>
      </c>
      <c r="C16" s="237">
        <v>24</v>
      </c>
      <c r="D16" s="304">
        <v>0.23899999999999999</v>
      </c>
      <c r="E16" s="244">
        <f t="shared" ref="E16:E35" si="0">C16*$C$51+$C$52</f>
        <v>0.25650864012021019</v>
      </c>
      <c r="F16" s="245">
        <f>D16-E16</f>
        <v>-1.7508640120210195E-2</v>
      </c>
      <c r="G16" s="242"/>
      <c r="H16" s="242"/>
    </row>
    <row r="17" spans="2:9" s="217" customFormat="1" ht="14">
      <c r="B17" s="243">
        <v>2</v>
      </c>
      <c r="C17" s="237">
        <v>35</v>
      </c>
      <c r="D17" s="304">
        <v>0.32200000000000001</v>
      </c>
      <c r="E17" s="244">
        <f t="shared" si="0"/>
        <v>0.33896731780616129</v>
      </c>
      <c r="F17" s="245">
        <f t="shared" ref="F17:F35" si="1">D17-E17</f>
        <v>-1.6967317806161286E-2</v>
      </c>
      <c r="G17" s="242"/>
      <c r="H17" s="242"/>
    </row>
    <row r="18" spans="2:9" s="217" customFormat="1" ht="14">
      <c r="B18" s="243">
        <v>3</v>
      </c>
      <c r="C18" s="237">
        <v>34</v>
      </c>
      <c r="D18" s="304">
        <v>0.31900000000000001</v>
      </c>
      <c r="E18" s="244">
        <f t="shared" si="0"/>
        <v>0.33147107438016571</v>
      </c>
      <c r="F18" s="245">
        <f t="shared" si="1"/>
        <v>-1.2471074380165703E-2</v>
      </c>
      <c r="G18" s="242"/>
      <c r="H18" s="242"/>
    </row>
    <row r="19" spans="2:9" s="217" customFormat="1" ht="14">
      <c r="B19" s="243">
        <v>4</v>
      </c>
      <c r="C19" s="237">
        <v>19</v>
      </c>
      <c r="D19" s="304">
        <v>0.19</v>
      </c>
      <c r="E19" s="244">
        <f t="shared" si="0"/>
        <v>0.21902742299023248</v>
      </c>
      <c r="F19" s="245">
        <f t="shared" si="1"/>
        <v>-2.9027422990232477E-2</v>
      </c>
      <c r="G19" s="242"/>
      <c r="H19" s="242"/>
    </row>
    <row r="20" spans="2:9" s="217" customFormat="1" ht="14">
      <c r="B20" s="243">
        <v>5</v>
      </c>
      <c r="C20" s="237">
        <v>26</v>
      </c>
      <c r="D20" s="304">
        <v>0.29399999999999998</v>
      </c>
      <c r="E20" s="244">
        <f t="shared" si="0"/>
        <v>0.2715011269722013</v>
      </c>
      <c r="F20" s="245">
        <f t="shared" si="1"/>
        <v>2.2498873027798683E-2</v>
      </c>
      <c r="G20" s="242"/>
      <c r="H20" s="242"/>
      <c r="I20" s="246"/>
    </row>
    <row r="21" spans="2:9" s="217" customFormat="1" ht="14">
      <c r="B21" s="243">
        <v>6</v>
      </c>
      <c r="C21" s="237">
        <v>27</v>
      </c>
      <c r="D21" s="304">
        <v>0.29499999999999998</v>
      </c>
      <c r="E21" s="244">
        <f t="shared" si="0"/>
        <v>0.27899737039819683</v>
      </c>
      <c r="F21" s="245">
        <f t="shared" si="1"/>
        <v>1.6002629601803153E-2</v>
      </c>
      <c r="G21" s="242"/>
      <c r="H21" s="234"/>
      <c r="I21" s="246"/>
    </row>
    <row r="22" spans="2:9" s="217" customFormat="1" ht="14">
      <c r="B22" s="243">
        <v>7</v>
      </c>
      <c r="C22" s="237">
        <v>27</v>
      </c>
      <c r="D22" s="304">
        <v>0.28699999999999998</v>
      </c>
      <c r="E22" s="244">
        <f t="shared" si="0"/>
        <v>0.27899737039819683</v>
      </c>
      <c r="F22" s="245">
        <f t="shared" si="1"/>
        <v>8.0026296018031462E-3</v>
      </c>
      <c r="G22" s="242"/>
      <c r="H22" s="242"/>
    </row>
    <row r="23" spans="2:9" s="217" customFormat="1" ht="14">
      <c r="B23" s="243">
        <v>8</v>
      </c>
      <c r="C23" s="237">
        <v>24</v>
      </c>
      <c r="D23" s="304">
        <v>0.27300000000000002</v>
      </c>
      <c r="E23" s="244">
        <f t="shared" si="0"/>
        <v>0.25650864012021019</v>
      </c>
      <c r="F23" s="245">
        <f t="shared" si="1"/>
        <v>1.6491359879789835E-2</v>
      </c>
      <c r="G23" s="242"/>
      <c r="H23" s="242"/>
      <c r="I23" s="246"/>
    </row>
    <row r="24" spans="2:9" s="217" customFormat="1" ht="14">
      <c r="B24" s="243">
        <v>9</v>
      </c>
      <c r="C24" s="237">
        <v>27</v>
      </c>
      <c r="D24" s="304">
        <v>0.29299999999999998</v>
      </c>
      <c r="E24" s="244">
        <f t="shared" si="0"/>
        <v>0.27899737039819683</v>
      </c>
      <c r="F24" s="245">
        <f t="shared" si="1"/>
        <v>1.4002629601803152E-2</v>
      </c>
      <c r="G24" s="242"/>
      <c r="H24" s="234"/>
      <c r="I24" s="246"/>
    </row>
    <row r="25" spans="2:9" s="217" customFormat="1" ht="14">
      <c r="B25" s="243">
        <v>10</v>
      </c>
      <c r="C25" s="237">
        <v>28</v>
      </c>
      <c r="D25" s="304">
        <v>0.29599999999999999</v>
      </c>
      <c r="E25" s="244">
        <f t="shared" si="0"/>
        <v>0.28649361382419242</v>
      </c>
      <c r="F25" s="245">
        <f t="shared" si="1"/>
        <v>9.5063861758075685E-3</v>
      </c>
    </row>
    <row r="26" spans="2:9" s="217" customFormat="1" ht="14">
      <c r="B26" s="243">
        <v>11</v>
      </c>
      <c r="C26" s="237">
        <v>25</v>
      </c>
      <c r="D26" s="304">
        <v>0.26500000000000001</v>
      </c>
      <c r="E26" s="244">
        <f t="shared" si="0"/>
        <v>0.26400488354620577</v>
      </c>
      <c r="F26" s="245">
        <f t="shared" si="1"/>
        <v>9.9511645379424252E-4</v>
      </c>
    </row>
    <row r="27" spans="2:9" s="217" customFormat="1" ht="14">
      <c r="B27" s="243">
        <v>12</v>
      </c>
      <c r="C27" s="237">
        <v>27</v>
      </c>
      <c r="D27" s="304">
        <v>0.29699999999999999</v>
      </c>
      <c r="E27" s="244">
        <f t="shared" si="0"/>
        <v>0.27899737039819683</v>
      </c>
      <c r="F27" s="245">
        <f t="shared" si="1"/>
        <v>1.8002629601803155E-2</v>
      </c>
      <c r="G27" s="242"/>
      <c r="H27" s="242"/>
    </row>
    <row r="28" spans="2:9" s="217" customFormat="1" ht="14">
      <c r="B28" s="243">
        <v>13</v>
      </c>
      <c r="C28" s="237">
        <v>30</v>
      </c>
      <c r="D28" s="304">
        <v>0.29699999999999999</v>
      </c>
      <c r="E28" s="244">
        <f t="shared" si="0"/>
        <v>0.30148610067618353</v>
      </c>
      <c r="F28" s="245">
        <f t="shared" si="1"/>
        <v>-4.4861006761835465E-3</v>
      </c>
      <c r="G28" s="242"/>
      <c r="H28" s="242"/>
    </row>
    <row r="29" spans="2:9" s="217" customFormat="1" ht="14">
      <c r="B29" s="243">
        <v>14</v>
      </c>
      <c r="C29" s="237">
        <v>28</v>
      </c>
      <c r="D29" s="304">
        <v>0.28299999999999997</v>
      </c>
      <c r="E29" s="244">
        <f t="shared" si="0"/>
        <v>0.28649361382419242</v>
      </c>
      <c r="F29" s="245">
        <f t="shared" si="1"/>
        <v>-3.493613824192443E-3</v>
      </c>
      <c r="G29" s="242"/>
      <c r="H29" s="242"/>
      <c r="I29" s="246"/>
    </row>
    <row r="30" spans="2:9" s="217" customFormat="1" ht="14">
      <c r="B30" s="243">
        <v>15</v>
      </c>
      <c r="C30" s="237">
        <v>27</v>
      </c>
      <c r="D30" s="304">
        <v>0.28599999999999998</v>
      </c>
      <c r="E30" s="244">
        <f t="shared" si="0"/>
        <v>0.27899737039819683</v>
      </c>
      <c r="F30" s="245">
        <f t="shared" si="1"/>
        <v>7.0026296018031453E-3</v>
      </c>
      <c r="G30" s="242"/>
      <c r="H30" s="242"/>
      <c r="I30" s="246"/>
    </row>
    <row r="31" spans="2:9" s="217" customFormat="1" ht="14">
      <c r="B31" s="243">
        <v>16</v>
      </c>
      <c r="C31" s="237">
        <v>23</v>
      </c>
      <c r="D31" s="304">
        <v>0.247</v>
      </c>
      <c r="E31" s="244">
        <f t="shared" si="0"/>
        <v>0.24901239669421465</v>
      </c>
      <c r="F31" s="245">
        <f t="shared" si="1"/>
        <v>-2.0123966942146576E-3</v>
      </c>
      <c r="G31" s="242"/>
      <c r="H31" s="242"/>
    </row>
    <row r="32" spans="2:9" s="217" customFormat="1" ht="14">
      <c r="B32" s="243">
        <v>17</v>
      </c>
      <c r="C32" s="237">
        <v>23</v>
      </c>
      <c r="D32" s="304">
        <v>0.24</v>
      </c>
      <c r="E32" s="244">
        <f t="shared" si="0"/>
        <v>0.24901239669421465</v>
      </c>
      <c r="F32" s="245">
        <f t="shared" si="1"/>
        <v>-9.0123966942146638E-3</v>
      </c>
      <c r="G32" s="242"/>
      <c r="H32" s="242"/>
    </row>
    <row r="33" spans="1:9" ht="14">
      <c r="A33" s="217"/>
      <c r="B33" s="243">
        <v>18</v>
      </c>
      <c r="C33" s="237">
        <v>23</v>
      </c>
      <c r="D33" s="304">
        <v>0.25700000000000001</v>
      </c>
      <c r="E33" s="244">
        <f t="shared" si="0"/>
        <v>0.24901239669421465</v>
      </c>
      <c r="F33" s="245">
        <f t="shared" si="1"/>
        <v>7.9876033057853513E-3</v>
      </c>
      <c r="G33" s="242"/>
      <c r="H33" s="242"/>
      <c r="I33" s="246"/>
    </row>
    <row r="34" spans="1:9" ht="14">
      <c r="A34" s="217"/>
      <c r="B34" s="243">
        <v>19</v>
      </c>
      <c r="C34" s="237">
        <v>26</v>
      </c>
      <c r="D34" s="304">
        <v>0.24</v>
      </c>
      <c r="E34" s="244">
        <f t="shared" si="0"/>
        <v>0.2715011269722013</v>
      </c>
      <c r="F34" s="245">
        <f t="shared" si="1"/>
        <v>-3.150112697220131E-2</v>
      </c>
      <c r="G34" s="242"/>
      <c r="H34" s="234"/>
      <c r="I34" s="246"/>
    </row>
    <row r="35" spans="1:9" ht="14">
      <c r="A35" s="217"/>
      <c r="B35" s="301">
        <v>20</v>
      </c>
      <c r="C35" s="302">
        <v>23</v>
      </c>
      <c r="D35" s="305">
        <v>0.255</v>
      </c>
      <c r="E35" s="303">
        <f t="shared" si="0"/>
        <v>0.24901239669421465</v>
      </c>
      <c r="F35" s="240">
        <f t="shared" si="1"/>
        <v>5.9876033057853495E-3</v>
      </c>
    </row>
    <row r="36" spans="1:9">
      <c r="A36" s="217"/>
      <c r="B36" s="247"/>
      <c r="C36" s="245"/>
      <c r="D36" s="248"/>
      <c r="E36" s="245"/>
      <c r="F36" s="245">
        <f>SUM(F16:F35)</f>
        <v>4.9960036108132044E-16</v>
      </c>
    </row>
    <row r="37" spans="1:9">
      <c r="A37" s="217"/>
      <c r="B37" s="249"/>
      <c r="C37" s="55" t="s">
        <v>238</v>
      </c>
      <c r="D37" s="10">
        <f>COUNT(B16:B35)</f>
        <v>20</v>
      </c>
      <c r="E37" s="249"/>
      <c r="F37" s="250"/>
    </row>
    <row r="38" spans="1:9">
      <c r="A38" s="217"/>
      <c r="B38" s="59" t="s">
        <v>239</v>
      </c>
      <c r="C38" s="10">
        <f>SUM(C16:C35)</f>
        <v>526</v>
      </c>
      <c r="D38" s="59" t="s">
        <v>240</v>
      </c>
      <c r="E38" s="57">
        <f>SUM(D16:D35)</f>
        <v>5.4749999999999996</v>
      </c>
      <c r="F38" s="251"/>
      <c r="G38" s="252"/>
    </row>
    <row r="39" spans="1:9" ht="15">
      <c r="A39" s="217"/>
      <c r="B39" s="55" t="s">
        <v>241</v>
      </c>
      <c r="C39" s="10">
        <f>C38^2</f>
        <v>276676</v>
      </c>
      <c r="D39" s="55" t="s">
        <v>242</v>
      </c>
      <c r="E39" s="57">
        <f>E38^2</f>
        <v>29.975624999999997</v>
      </c>
      <c r="F39" s="253"/>
    </row>
    <row r="40" spans="1:9" ht="15">
      <c r="A40" s="217"/>
      <c r="B40" s="55" t="s">
        <v>243</v>
      </c>
      <c r="C40" s="10">
        <f>D37*SUMSQ(C16:C35)</f>
        <v>282000</v>
      </c>
      <c r="D40" s="55" t="s">
        <v>244</v>
      </c>
      <c r="E40" s="57">
        <f>D37*SUMSQ(D16:D35)</f>
        <v>30.366020000000013</v>
      </c>
      <c r="F40" s="254"/>
      <c r="G40" s="255"/>
    </row>
    <row r="41" spans="1:9">
      <c r="A41" s="217"/>
      <c r="B41" s="55"/>
      <c r="C41" s="55" t="s">
        <v>245</v>
      </c>
      <c r="D41" s="53">
        <f>D37*SUMPRODUCT(C16:C35,D16:D35)</f>
        <v>2919.76</v>
      </c>
      <c r="E41" s="249"/>
      <c r="F41" s="250"/>
    </row>
    <row r="42" spans="1:9">
      <c r="A42" s="217"/>
      <c r="B42" s="55"/>
      <c r="C42" s="53"/>
      <c r="D42" s="1"/>
      <c r="E42" s="249"/>
      <c r="F42" s="250"/>
    </row>
    <row r="43" spans="1:9" ht="15">
      <c r="A43" s="217"/>
      <c r="B43" s="55" t="s">
        <v>246</v>
      </c>
      <c r="C43" s="57">
        <f>AVERAGE(C16:C35)</f>
        <v>26.3</v>
      </c>
      <c r="D43" s="55" t="s">
        <v>247</v>
      </c>
      <c r="E43" s="256">
        <f>AVERAGE(D16:D35)</f>
        <v>0.27374999999999999</v>
      </c>
      <c r="F43" s="250"/>
    </row>
    <row r="44" spans="1:9" ht="15">
      <c r="A44" s="217"/>
      <c r="B44" s="55" t="s">
        <v>248</v>
      </c>
      <c r="C44" s="57">
        <f>STDEVPA(C16:C35)</f>
        <v>3.6482872693909401</v>
      </c>
      <c r="D44" s="55" t="s">
        <v>249</v>
      </c>
      <c r="E44" s="256">
        <f>STDEVPA(D16:D35)</f>
        <v>3.1240798645361799E-2</v>
      </c>
      <c r="F44" s="250"/>
    </row>
    <row r="45" spans="1:9" ht="15">
      <c r="A45" s="217"/>
      <c r="B45" s="55" t="s">
        <v>250</v>
      </c>
      <c r="C45" s="57">
        <f>C44^2</f>
        <v>13.310000000000002</v>
      </c>
      <c r="D45" s="55" t="s">
        <v>251</v>
      </c>
      <c r="E45" s="257">
        <f>E44^2</f>
        <v>9.7598750000003963E-4</v>
      </c>
      <c r="F45" s="250"/>
    </row>
    <row r="46" spans="1:9" ht="15">
      <c r="A46" s="217"/>
      <c r="B46" s="55"/>
      <c r="C46" s="57"/>
      <c r="D46" s="55" t="s">
        <v>252</v>
      </c>
      <c r="E46" s="257">
        <f>VARP(E16:E35)</f>
        <v>7.4793768782871191E-4</v>
      </c>
      <c r="F46" s="250"/>
    </row>
    <row r="47" spans="1:9" ht="15">
      <c r="A47" s="217"/>
      <c r="B47" s="55"/>
      <c r="C47" s="57"/>
      <c r="D47" s="55" t="s">
        <v>253</v>
      </c>
      <c r="E47" s="257">
        <f>VARP(F16:F35)</f>
        <v>2.2804981217129996E-4</v>
      </c>
      <c r="F47" s="250"/>
    </row>
    <row r="48" spans="1:9" ht="15">
      <c r="A48" s="217"/>
      <c r="B48" s="55"/>
      <c r="C48" s="57"/>
      <c r="D48" s="55" t="s">
        <v>254</v>
      </c>
      <c r="E48" s="257">
        <f>E46+E47</f>
        <v>9.7598750000001187E-4</v>
      </c>
      <c r="F48" s="250"/>
    </row>
    <row r="49" spans="1:9">
      <c r="A49" s="217"/>
      <c r="B49" s="55"/>
      <c r="C49" s="57"/>
      <c r="D49" s="1"/>
      <c r="E49" s="249"/>
      <c r="F49" s="250"/>
    </row>
    <row r="50" spans="1:9" ht="15">
      <c r="A50" s="217"/>
      <c r="B50" s="249"/>
      <c r="C50" s="51" t="s">
        <v>255</v>
      </c>
      <c r="D50" s="51" t="s">
        <v>256</v>
      </c>
      <c r="E50" s="51" t="s">
        <v>257</v>
      </c>
      <c r="F50" s="250"/>
    </row>
    <row r="51" spans="1:9">
      <c r="A51" s="217"/>
      <c r="B51" s="55" t="s">
        <v>258</v>
      </c>
      <c r="C51" s="53">
        <f>(D41-C38*E38)/(C40-C39)</f>
        <v>7.4962434259955501E-3</v>
      </c>
      <c r="D51" s="53">
        <f>SLOPE(D16:D35,C16:C35)</f>
        <v>7.4962434259954903E-3</v>
      </c>
      <c r="E51" s="53"/>
      <c r="F51" s="250"/>
    </row>
    <row r="52" spans="1:9">
      <c r="A52" s="217"/>
      <c r="B52" s="55" t="s">
        <v>259</v>
      </c>
      <c r="C52" s="53">
        <f>(E38-C51*C38)/D37</f>
        <v>7.6598797896317003E-2</v>
      </c>
      <c r="D52" s="53">
        <f>INTERCEPT(D16:D35,C16:C35)</f>
        <v>7.6598797896318599E-2</v>
      </c>
      <c r="E52" s="53"/>
      <c r="F52" s="250"/>
    </row>
    <row r="53" spans="1:9">
      <c r="A53" s="217"/>
      <c r="B53" s="55" t="s">
        <v>260</v>
      </c>
      <c r="C53" s="53">
        <f>(D41-C38*E38)/SQRT(((C40-C39)*(E40-E39)))</f>
        <v>0.87540814080229701</v>
      </c>
      <c r="D53" s="53">
        <f>PEARSON(D16:D35,C16:C35)</f>
        <v>0.875408140802308</v>
      </c>
      <c r="E53" s="53"/>
      <c r="F53" s="250"/>
    </row>
    <row r="54" spans="1:9" ht="15">
      <c r="A54" s="217"/>
      <c r="B54" s="55" t="s">
        <v>261</v>
      </c>
      <c r="C54" s="53">
        <f>C53^2</f>
        <v>0.76633941298293429</v>
      </c>
      <c r="D54" s="53">
        <f>D53^2</f>
        <v>0.76633941298295349</v>
      </c>
      <c r="E54" s="258">
        <f>E46/E45</f>
        <v>0.76633941298293429</v>
      </c>
      <c r="F54" s="250"/>
    </row>
    <row r="55" spans="1:9">
      <c r="A55" s="217"/>
      <c r="B55" s="55"/>
      <c r="C55" s="53"/>
      <c r="D55" s="53"/>
      <c r="E55" s="249"/>
      <c r="F55" s="250"/>
    </row>
    <row r="56" spans="1:9">
      <c r="A56" s="217"/>
      <c r="B56" s="52" t="s">
        <v>262</v>
      </c>
      <c r="C56" s="52" t="s">
        <v>263</v>
      </c>
      <c r="D56" s="259">
        <v>0.9</v>
      </c>
      <c r="E56" s="11"/>
      <c r="F56" s="260"/>
      <c r="G56" s="252"/>
      <c r="H56" s="261"/>
    </row>
    <row r="57" spans="1:9">
      <c r="A57" s="217"/>
      <c r="B57" s="2" t="s">
        <v>264</v>
      </c>
      <c r="C57" s="57">
        <f>0.5*LN((1+C53)/(1-C53))</f>
        <v>1.3557691605421687</v>
      </c>
      <c r="D57" s="53"/>
      <c r="E57" s="55"/>
      <c r="F57" s="251"/>
      <c r="G57" s="252"/>
      <c r="H57" s="262"/>
      <c r="I57" s="234"/>
    </row>
    <row r="58" spans="1:9">
      <c r="A58" s="217"/>
      <c r="B58" s="55" t="s">
        <v>265</v>
      </c>
      <c r="C58" s="57">
        <f>SQRT(1/(D37-3))</f>
        <v>0.24253562503633297</v>
      </c>
      <c r="D58" s="1"/>
      <c r="E58" s="54"/>
      <c r="F58" s="263"/>
      <c r="G58" s="242"/>
      <c r="H58" s="234"/>
      <c r="I58" s="234"/>
    </row>
    <row r="59" spans="1:9">
      <c r="A59" s="217"/>
      <c r="B59" s="55" t="s">
        <v>266</v>
      </c>
      <c r="C59" s="57">
        <f>NORMSINV(D56+(1-D56)/2)</f>
        <v>1.6448536269514715</v>
      </c>
      <c r="D59" s="1"/>
      <c r="E59" s="62"/>
      <c r="F59" s="263"/>
      <c r="G59" s="264"/>
      <c r="H59" s="252"/>
      <c r="I59" s="252"/>
    </row>
    <row r="60" spans="1:9">
      <c r="A60" s="217"/>
      <c r="B60" s="55" t="s">
        <v>267</v>
      </c>
      <c r="C60" s="57">
        <f>C57+(C58*C59)</f>
        <v>1.7547047630481232</v>
      </c>
      <c r="D60" s="1"/>
      <c r="E60" s="62"/>
      <c r="F60" s="263"/>
      <c r="G60" s="264"/>
      <c r="H60" s="252"/>
      <c r="I60" s="252"/>
    </row>
    <row r="61" spans="1:9">
      <c r="A61" s="217"/>
      <c r="B61" s="55" t="s">
        <v>268</v>
      </c>
      <c r="C61" s="57">
        <f>C57-C58*C59</f>
        <v>0.95683355803621428</v>
      </c>
      <c r="D61" s="10" t="s">
        <v>269</v>
      </c>
      <c r="E61" s="62"/>
      <c r="F61" s="263"/>
      <c r="G61" s="264"/>
      <c r="H61" s="252"/>
      <c r="I61" s="252"/>
    </row>
    <row r="62" spans="1:9">
      <c r="A62" s="217"/>
      <c r="B62" s="55" t="s">
        <v>270</v>
      </c>
      <c r="C62" s="57">
        <f>(EXP(2*C60)-1)/(EXP(2*C60)+1)</f>
        <v>0.94190863245952172</v>
      </c>
      <c r="D62" s="57">
        <f>C62-C63</f>
        <v>6.6500491657224714E-2</v>
      </c>
      <c r="E62" s="62"/>
      <c r="F62" s="263"/>
      <c r="G62" s="264"/>
      <c r="H62" s="252"/>
      <c r="I62" s="252"/>
    </row>
    <row r="63" spans="1:9">
      <c r="A63" s="217"/>
      <c r="B63" s="2" t="s">
        <v>271</v>
      </c>
      <c r="C63" s="57">
        <f>C53</f>
        <v>0.87540814080229701</v>
      </c>
      <c r="D63" s="62" t="s">
        <v>272</v>
      </c>
      <c r="E63" s="57" t="str">
        <f>IF(AND(D13&lt;C62,D13&gt;C64),"Yes", "No")</f>
        <v>No</v>
      </c>
      <c r="F63" s="265"/>
      <c r="G63" s="264"/>
      <c r="H63" s="262"/>
    </row>
    <row r="64" spans="1:9">
      <c r="B64" s="2" t="s">
        <v>273</v>
      </c>
      <c r="C64" s="57">
        <f>(EXP(2*C61)-1)/(EXP(2*C61)+1)</f>
        <v>0.74286113803484877</v>
      </c>
      <c r="D64" s="57">
        <f>C63-C64</f>
        <v>0.13254700276744824</v>
      </c>
      <c r="E64" s="63"/>
      <c r="F64" s="266"/>
      <c r="G64" s="267"/>
      <c r="H64" s="261"/>
    </row>
    <row r="65" spans="1:9">
      <c r="B65" s="261"/>
      <c r="C65" s="238"/>
      <c r="D65" s="238"/>
      <c r="E65" s="267"/>
      <c r="F65" s="267"/>
      <c r="G65" s="267"/>
      <c r="H65" s="261"/>
    </row>
    <row r="66" spans="1:9">
      <c r="B66" s="261"/>
      <c r="C66" s="238"/>
      <c r="D66" s="238"/>
      <c r="E66" s="267"/>
      <c r="F66" s="267"/>
      <c r="G66" s="267"/>
      <c r="H66" s="261"/>
    </row>
    <row r="67" spans="1:9" ht="15">
      <c r="A67" s="231" t="s">
        <v>274</v>
      </c>
      <c r="B67" s="268" t="s">
        <v>275</v>
      </c>
      <c r="C67" s="269">
        <v>120</v>
      </c>
      <c r="D67" s="270" t="s">
        <v>276</v>
      </c>
      <c r="E67" s="269">
        <v>180</v>
      </c>
      <c r="F67" s="233"/>
      <c r="G67" s="235" t="s">
        <v>277</v>
      </c>
    </row>
    <row r="68" spans="1:9" ht="15">
      <c r="A68" s="217"/>
      <c r="B68" s="268" t="s">
        <v>278</v>
      </c>
      <c r="C68" s="269">
        <v>12</v>
      </c>
      <c r="D68" s="270" t="s">
        <v>279</v>
      </c>
      <c r="E68" s="269">
        <v>10</v>
      </c>
      <c r="F68" s="233"/>
      <c r="G68" s="217">
        <f>MIN(C74:C91)</f>
        <v>124</v>
      </c>
      <c r="H68" s="255">
        <f>G68*C107+C108</f>
        <v>94.365618153076497</v>
      </c>
    </row>
    <row r="69" spans="1:9" ht="15">
      <c r="A69" s="217"/>
      <c r="B69" s="268" t="s">
        <v>280</v>
      </c>
      <c r="C69" s="269">
        <v>210</v>
      </c>
      <c r="D69" s="270" t="s">
        <v>281</v>
      </c>
      <c r="E69" s="269">
        <v>140</v>
      </c>
      <c r="F69" s="233"/>
      <c r="G69" s="217">
        <f>MAX(C74:C91)</f>
        <v>209</v>
      </c>
      <c r="H69" s="255">
        <f>G69*C107+C108</f>
        <v>144.55284082390602</v>
      </c>
    </row>
    <row r="70" spans="1:9" ht="15">
      <c r="A70" s="217"/>
      <c r="B70" s="268" t="s">
        <v>282</v>
      </c>
      <c r="C70" s="269">
        <v>15</v>
      </c>
      <c r="D70" s="270" t="s">
        <v>283</v>
      </c>
      <c r="E70" s="269">
        <v>14</v>
      </c>
      <c r="F70" s="233"/>
      <c r="G70" s="234"/>
    </row>
    <row r="71" spans="1:9">
      <c r="A71" s="217"/>
      <c r="B71" s="41"/>
      <c r="C71" s="116" t="s">
        <v>232</v>
      </c>
      <c r="D71" s="232">
        <v>0</v>
      </c>
      <c r="E71" s="232"/>
      <c r="F71" s="233"/>
      <c r="G71" s="234"/>
    </row>
    <row r="72" spans="1:9">
      <c r="B72" s="236"/>
      <c r="C72" s="236"/>
      <c r="D72" s="236"/>
      <c r="E72" s="236"/>
      <c r="F72" s="237"/>
      <c r="G72" s="238"/>
    </row>
    <row r="73" spans="1:9">
      <c r="B73" s="239" t="s">
        <v>233</v>
      </c>
      <c r="C73" s="240" t="s">
        <v>284</v>
      </c>
      <c r="D73" s="241" t="s">
        <v>285</v>
      </c>
      <c r="E73" s="240" t="s">
        <v>236</v>
      </c>
      <c r="F73" s="241" t="s">
        <v>286</v>
      </c>
      <c r="G73" s="242"/>
      <c r="H73" s="234"/>
    </row>
    <row r="74" spans="1:9" ht="14">
      <c r="B74" s="306" t="s">
        <v>287</v>
      </c>
      <c r="C74" s="271">
        <v>133</v>
      </c>
      <c r="D74" s="272">
        <v>96</v>
      </c>
      <c r="E74" s="271">
        <f t="shared" ref="E74:E91" si="2">C74*$C$107+$C$108</f>
        <v>99.679559377046687</v>
      </c>
      <c r="F74" s="271">
        <f t="shared" ref="F74:F91" si="3">D74-E74</f>
        <v>-3.6795593770466866</v>
      </c>
      <c r="G74" s="238"/>
    </row>
    <row r="75" spans="1:9" ht="14">
      <c r="B75" s="306" t="s">
        <v>288</v>
      </c>
      <c r="C75" s="271">
        <v>127</v>
      </c>
      <c r="D75" s="272">
        <v>103</v>
      </c>
      <c r="E75" s="271">
        <f t="shared" si="2"/>
        <v>96.136931894399893</v>
      </c>
      <c r="F75" s="271">
        <f t="shared" si="3"/>
        <v>6.8630681056001066</v>
      </c>
      <c r="G75" s="238"/>
      <c r="H75" s="242"/>
    </row>
    <row r="76" spans="1:9" ht="14">
      <c r="B76" s="306" t="s">
        <v>289</v>
      </c>
      <c r="C76" s="271">
        <v>130</v>
      </c>
      <c r="D76" s="272">
        <v>99</v>
      </c>
      <c r="E76" s="271">
        <f t="shared" si="2"/>
        <v>97.90824563572329</v>
      </c>
      <c r="F76" s="271">
        <f t="shared" si="3"/>
        <v>1.09175436427671</v>
      </c>
      <c r="G76" s="238"/>
      <c r="H76" s="242"/>
    </row>
    <row r="77" spans="1:9" ht="14">
      <c r="B77" s="306" t="s">
        <v>290</v>
      </c>
      <c r="C77" s="271">
        <v>137</v>
      </c>
      <c r="D77" s="272">
        <v>94</v>
      </c>
      <c r="E77" s="271">
        <f t="shared" si="2"/>
        <v>102.04131103214455</v>
      </c>
      <c r="F77" s="271">
        <f t="shared" si="3"/>
        <v>-8.0413110321445487</v>
      </c>
      <c r="G77" s="238"/>
    </row>
    <row r="78" spans="1:9" ht="14">
      <c r="B78" s="306" t="s">
        <v>291</v>
      </c>
      <c r="C78" s="271">
        <v>128</v>
      </c>
      <c r="D78" s="272">
        <v>96</v>
      </c>
      <c r="E78" s="271">
        <f t="shared" si="2"/>
        <v>96.727369808174359</v>
      </c>
      <c r="F78" s="271">
        <f t="shared" si="3"/>
        <v>-0.72736980817435892</v>
      </c>
      <c r="G78" s="238"/>
      <c r="H78" s="242"/>
    </row>
    <row r="79" spans="1:9" ht="14">
      <c r="B79" s="306" t="s">
        <v>292</v>
      </c>
      <c r="C79" s="271">
        <v>124</v>
      </c>
      <c r="D79" s="272">
        <v>99</v>
      </c>
      <c r="E79" s="271">
        <f t="shared" si="2"/>
        <v>94.365618153076497</v>
      </c>
      <c r="F79" s="271">
        <f t="shared" si="3"/>
        <v>4.6343818469235032</v>
      </c>
      <c r="G79" s="238"/>
      <c r="H79" s="242"/>
      <c r="I79" s="246"/>
    </row>
    <row r="80" spans="1:9" ht="14">
      <c r="A80" s="217"/>
      <c r="B80" s="306" t="s">
        <v>293</v>
      </c>
      <c r="C80" s="271">
        <v>136</v>
      </c>
      <c r="D80" s="272">
        <v>100</v>
      </c>
      <c r="E80" s="271">
        <f t="shared" si="2"/>
        <v>101.45087311837008</v>
      </c>
      <c r="F80" s="271">
        <f t="shared" si="3"/>
        <v>-1.4508731183700831</v>
      </c>
      <c r="G80" s="238"/>
    </row>
    <row r="81" spans="1:9" ht="14">
      <c r="A81" s="217"/>
      <c r="B81" s="306" t="s">
        <v>294</v>
      </c>
      <c r="C81" s="271">
        <v>139</v>
      </c>
      <c r="D81" s="272">
        <v>101</v>
      </c>
      <c r="E81" s="271">
        <f t="shared" si="2"/>
        <v>103.22218685969347</v>
      </c>
      <c r="F81" s="271">
        <f t="shared" si="3"/>
        <v>-2.2221868596934655</v>
      </c>
      <c r="G81" s="238"/>
    </row>
    <row r="82" spans="1:9" ht="14">
      <c r="A82" s="217"/>
      <c r="B82" s="306" t="s">
        <v>295</v>
      </c>
      <c r="C82" s="271">
        <v>133</v>
      </c>
      <c r="D82" s="272">
        <v>99</v>
      </c>
      <c r="E82" s="271">
        <f t="shared" si="2"/>
        <v>99.679559377046687</v>
      </c>
      <c r="F82" s="271">
        <f t="shared" si="3"/>
        <v>-0.67955937704668656</v>
      </c>
      <c r="G82" s="238"/>
      <c r="H82" s="242"/>
      <c r="I82" s="246"/>
    </row>
    <row r="83" spans="1:9" ht="14">
      <c r="A83" s="217"/>
      <c r="B83" s="306" t="s">
        <v>296</v>
      </c>
      <c r="C83" s="271">
        <v>209</v>
      </c>
      <c r="D83" s="272">
        <v>135</v>
      </c>
      <c r="E83" s="271">
        <f t="shared" si="2"/>
        <v>144.55284082390602</v>
      </c>
      <c r="F83" s="271">
        <f t="shared" si="3"/>
        <v>-9.5528408239060241</v>
      </c>
      <c r="G83" s="238"/>
      <c r="H83" s="234"/>
      <c r="I83" s="246"/>
    </row>
    <row r="84" spans="1:9" ht="14">
      <c r="A84" s="217"/>
      <c r="B84" s="306" t="s">
        <v>297</v>
      </c>
      <c r="C84" s="271">
        <v>199</v>
      </c>
      <c r="D84" s="272">
        <v>131</v>
      </c>
      <c r="E84" s="271">
        <f t="shared" si="2"/>
        <v>138.64846168616134</v>
      </c>
      <c r="F84" s="271">
        <f t="shared" si="3"/>
        <v>-7.6484616861613404</v>
      </c>
      <c r="G84" s="238"/>
    </row>
    <row r="85" spans="1:9" ht="14">
      <c r="A85" s="217"/>
      <c r="B85" s="306" t="s">
        <v>298</v>
      </c>
      <c r="C85" s="271">
        <v>195</v>
      </c>
      <c r="D85" s="272">
        <v>134</v>
      </c>
      <c r="E85" s="271">
        <f t="shared" si="2"/>
        <v>136.28671003106348</v>
      </c>
      <c r="F85" s="271">
        <f t="shared" si="3"/>
        <v>-2.2867100310634783</v>
      </c>
      <c r="G85" s="238"/>
      <c r="H85" s="242"/>
      <c r="I85" s="246"/>
    </row>
    <row r="86" spans="1:9" ht="14">
      <c r="A86" s="217"/>
      <c r="B86" s="306" t="s">
        <v>299</v>
      </c>
      <c r="C86" s="271">
        <v>204</v>
      </c>
      <c r="D86" s="272">
        <v>142</v>
      </c>
      <c r="E86" s="271">
        <f t="shared" si="2"/>
        <v>141.60065125503368</v>
      </c>
      <c r="F86" s="271">
        <f t="shared" si="3"/>
        <v>0.39934874496631778</v>
      </c>
      <c r="G86" s="238"/>
      <c r="H86" s="234"/>
      <c r="I86" s="246"/>
    </row>
    <row r="87" spans="1:9" ht="14">
      <c r="A87" s="217"/>
      <c r="B87" s="306" t="s">
        <v>300</v>
      </c>
      <c r="C87" s="271">
        <v>209</v>
      </c>
      <c r="D87" s="272">
        <v>146</v>
      </c>
      <c r="E87" s="271">
        <f t="shared" si="2"/>
        <v>144.55284082390602</v>
      </c>
      <c r="F87" s="271">
        <f t="shared" si="3"/>
        <v>1.4471591760939759</v>
      </c>
      <c r="G87" s="238"/>
    </row>
    <row r="88" spans="1:9" ht="14">
      <c r="A88" s="217"/>
      <c r="B88" s="306" t="s">
        <v>301</v>
      </c>
      <c r="C88" s="271">
        <v>197</v>
      </c>
      <c r="D88" s="272">
        <v>142</v>
      </c>
      <c r="E88" s="271">
        <f t="shared" si="2"/>
        <v>137.46758585861244</v>
      </c>
      <c r="F88" s="271">
        <f t="shared" si="3"/>
        <v>4.5324141413875623</v>
      </c>
      <c r="G88" s="238"/>
    </row>
    <row r="89" spans="1:9" ht="14">
      <c r="A89" s="217"/>
      <c r="B89" s="306" t="s">
        <v>302</v>
      </c>
      <c r="C89" s="271">
        <v>195</v>
      </c>
      <c r="D89" s="272">
        <v>141</v>
      </c>
      <c r="E89" s="271">
        <f t="shared" si="2"/>
        <v>136.28671003106348</v>
      </c>
      <c r="F89" s="271">
        <f t="shared" si="3"/>
        <v>4.7132899689365217</v>
      </c>
      <c r="G89" s="238"/>
    </row>
    <row r="90" spans="1:9" ht="14">
      <c r="A90" s="217"/>
      <c r="B90" s="306" t="s">
        <v>303</v>
      </c>
      <c r="C90" s="271">
        <v>196</v>
      </c>
      <c r="D90" s="272">
        <v>147</v>
      </c>
      <c r="E90" s="271">
        <f t="shared" si="2"/>
        <v>136.87714794483796</v>
      </c>
      <c r="F90" s="271">
        <f t="shared" si="3"/>
        <v>10.122852055162042</v>
      </c>
      <c r="G90" s="238"/>
    </row>
    <row r="91" spans="1:9" ht="14">
      <c r="A91" s="217"/>
      <c r="B91" s="307" t="s">
        <v>304</v>
      </c>
      <c r="C91" s="241">
        <v>192</v>
      </c>
      <c r="D91" s="308">
        <v>137</v>
      </c>
      <c r="E91" s="241">
        <f t="shared" si="2"/>
        <v>134.51539628974012</v>
      </c>
      <c r="F91" s="241">
        <f t="shared" si="3"/>
        <v>2.4846037102598757</v>
      </c>
      <c r="G91" s="238"/>
      <c r="H91" s="242"/>
    </row>
    <row r="92" spans="1:9">
      <c r="A92" s="217"/>
      <c r="B92" s="247"/>
      <c r="C92" s="245"/>
      <c r="D92" s="248"/>
      <c r="E92" s="245"/>
      <c r="F92" s="245">
        <f>SUM(F74:F91)</f>
        <v>-5.6843418860808015E-14</v>
      </c>
      <c r="G92" s="234"/>
    </row>
    <row r="93" spans="1:9">
      <c r="A93" s="217"/>
      <c r="B93" s="249"/>
      <c r="C93" s="55" t="s">
        <v>305</v>
      </c>
      <c r="D93" s="10">
        <f>COUNT(C74:C91)</f>
        <v>18</v>
      </c>
      <c r="E93" s="249"/>
      <c r="F93" s="250"/>
    </row>
    <row r="94" spans="1:9">
      <c r="A94" s="217"/>
      <c r="B94" s="59" t="s">
        <v>239</v>
      </c>
      <c r="C94" s="10">
        <f>SUM(C74:C91)</f>
        <v>2983</v>
      </c>
      <c r="D94" s="59" t="s">
        <v>240</v>
      </c>
      <c r="E94" s="57">
        <f>SUM(D74:D91)</f>
        <v>2142</v>
      </c>
      <c r="F94" s="251"/>
      <c r="G94" s="252"/>
    </row>
    <row r="95" spans="1:9" ht="15">
      <c r="A95" s="217"/>
      <c r="B95" s="55" t="s">
        <v>241</v>
      </c>
      <c r="C95" s="10">
        <f>C94^2</f>
        <v>8898289</v>
      </c>
      <c r="D95" s="55" t="s">
        <v>242</v>
      </c>
      <c r="E95" s="63">
        <f>E94^2</f>
        <v>4588164</v>
      </c>
      <c r="F95" s="253"/>
    </row>
    <row r="96" spans="1:9" ht="15">
      <c r="A96" s="217"/>
      <c r="B96" s="55" t="s">
        <v>243</v>
      </c>
      <c r="C96" s="10">
        <f>D93*SUMSQ(C74:C91)</f>
        <v>9278478</v>
      </c>
      <c r="D96" s="55" t="s">
        <v>244</v>
      </c>
      <c r="E96" s="63">
        <f>D93*SUMSQ(D74:D91)</f>
        <v>4729068</v>
      </c>
      <c r="F96" s="254"/>
      <c r="G96" s="255"/>
    </row>
    <row r="97" spans="1:9">
      <c r="A97" s="217"/>
      <c r="B97" s="55"/>
      <c r="C97" s="55" t="s">
        <v>245</v>
      </c>
      <c r="D97" s="53">
        <f>D93*SUMPRODUCT(C74:C91,D74:D91)</f>
        <v>6614064</v>
      </c>
      <c r="E97" s="249"/>
      <c r="F97" s="250"/>
    </row>
    <row r="98" spans="1:9">
      <c r="A98" s="217"/>
      <c r="B98" s="55"/>
      <c r="C98" s="53"/>
      <c r="D98" s="1"/>
      <c r="E98" s="249"/>
      <c r="F98" s="250"/>
      <c r="H98" s="273"/>
      <c r="I98" s="273"/>
    </row>
    <row r="99" spans="1:9" ht="15">
      <c r="A99" s="217"/>
      <c r="B99" s="55" t="s">
        <v>246</v>
      </c>
      <c r="C99" s="57">
        <f>AVERAGE(C74:C91)</f>
        <v>165.72222222222223</v>
      </c>
      <c r="D99" s="55" t="s">
        <v>247</v>
      </c>
      <c r="E99" s="57">
        <f>AVERAGE(D74:D91)</f>
        <v>119</v>
      </c>
      <c r="F99" s="250"/>
      <c r="H99" s="273"/>
      <c r="I99" s="273"/>
    </row>
    <row r="100" spans="1:9" ht="15">
      <c r="A100" s="217"/>
      <c r="B100" s="55" t="s">
        <v>248</v>
      </c>
      <c r="C100" s="57">
        <f>STDEVPA(C74:C91)</f>
        <v>34.255260026836353</v>
      </c>
      <c r="D100" s="55" t="s">
        <v>249</v>
      </c>
      <c r="E100" s="57">
        <f>STDEVPA(D74:D91)</f>
        <v>20.853989759489405</v>
      </c>
      <c r="F100" s="250"/>
      <c r="H100" s="273"/>
      <c r="I100" s="273"/>
    </row>
    <row r="101" spans="1:9" ht="15">
      <c r="A101" s="217"/>
      <c r="B101" s="55" t="s">
        <v>250</v>
      </c>
      <c r="C101" s="57">
        <f>C100^2</f>
        <v>1173.4228395061725</v>
      </c>
      <c r="D101" s="55" t="s">
        <v>251</v>
      </c>
      <c r="E101" s="57">
        <f>E100^2</f>
        <v>434.88888888888897</v>
      </c>
      <c r="F101" s="250"/>
      <c r="H101" s="273"/>
      <c r="I101" s="273"/>
    </row>
    <row r="102" spans="1:9" ht="15">
      <c r="A102" s="217"/>
      <c r="B102" s="55"/>
      <c r="C102" s="57"/>
      <c r="D102" s="55" t="s">
        <v>252</v>
      </c>
      <c r="E102" s="57">
        <f>VARP(E74:E91)</f>
        <v>409.0750679267415</v>
      </c>
      <c r="F102" s="250"/>
      <c r="H102" s="273"/>
      <c r="I102" s="273"/>
    </row>
    <row r="103" spans="1:9" ht="15">
      <c r="A103" s="217"/>
      <c r="B103" s="55"/>
      <c r="C103" s="57"/>
      <c r="D103" s="55" t="s">
        <v>253</v>
      </c>
      <c r="E103" s="57">
        <f>VARP(F74:F91)</f>
        <v>25.813820962147204</v>
      </c>
      <c r="F103" s="250"/>
      <c r="H103" s="273"/>
      <c r="I103" s="273"/>
    </row>
    <row r="104" spans="1:9" ht="15">
      <c r="A104" s="217"/>
      <c r="B104" s="55"/>
      <c r="C104" s="57"/>
      <c r="D104" s="55" t="s">
        <v>254</v>
      </c>
      <c r="E104" s="57">
        <f>E102+E103</f>
        <v>434.88888888888869</v>
      </c>
      <c r="F104" s="250"/>
      <c r="H104" s="273"/>
      <c r="I104" s="273"/>
    </row>
    <row r="105" spans="1:9">
      <c r="A105" s="217"/>
      <c r="B105" s="55"/>
      <c r="C105" s="57"/>
      <c r="D105" s="1"/>
      <c r="E105" s="249"/>
      <c r="F105" s="250"/>
      <c r="H105" s="273"/>
      <c r="I105" s="273"/>
    </row>
    <row r="106" spans="1:9" ht="15">
      <c r="A106" s="217"/>
      <c r="B106" s="249"/>
      <c r="C106" s="51" t="s">
        <v>306</v>
      </c>
      <c r="D106" s="51" t="s">
        <v>256</v>
      </c>
      <c r="E106" s="51" t="s">
        <v>257</v>
      </c>
      <c r="F106" s="250"/>
      <c r="H106" s="273"/>
      <c r="I106" s="273"/>
    </row>
    <row r="107" spans="1:9">
      <c r="A107" s="217"/>
      <c r="B107" s="55" t="s">
        <v>307</v>
      </c>
      <c r="C107" s="53">
        <f>(D97-C94*E94)/(C96-C95)</f>
        <v>0.59043791377446475</v>
      </c>
      <c r="D107" s="53">
        <f>SLOPE(D74:D91,C74:C91)</f>
        <v>0.59043791377446464</v>
      </c>
      <c r="E107" s="53"/>
      <c r="F107" s="250"/>
      <c r="H107" s="273"/>
      <c r="I107" s="273"/>
    </row>
    <row r="108" spans="1:9">
      <c r="A108" s="217"/>
      <c r="B108" s="55" t="s">
        <v>259</v>
      </c>
      <c r="C108" s="53">
        <f>(E94-C107*C94)/D93</f>
        <v>21.151316845042871</v>
      </c>
      <c r="D108" s="53">
        <f>INTERCEPT(D74:D91,C74:C91)</f>
        <v>21.151316845042885</v>
      </c>
      <c r="E108" s="53"/>
      <c r="F108" s="250"/>
      <c r="H108" s="273"/>
      <c r="I108" s="273"/>
    </row>
    <row r="109" spans="1:9">
      <c r="A109" s="217"/>
      <c r="B109" s="55" t="s">
        <v>308</v>
      </c>
      <c r="C109" s="53">
        <f>(D97-C94*E94)/SQRT(((C96-C95)*(E96-E95)))</f>
        <v>0.96986737306915638</v>
      </c>
      <c r="D109" s="53">
        <f>PEARSON(D74:D91,C74:C91)</f>
        <v>0.96986737306915627</v>
      </c>
      <c r="E109" s="53"/>
      <c r="F109" s="250"/>
      <c r="H109" s="273"/>
      <c r="I109" s="273"/>
    </row>
    <row r="110" spans="1:9" ht="15">
      <c r="A110" s="217"/>
      <c r="B110" s="55" t="s">
        <v>261</v>
      </c>
      <c r="C110" s="53">
        <f>C109^2</f>
        <v>0.94064272134406612</v>
      </c>
      <c r="D110" s="53">
        <f>D109^2</f>
        <v>0.9406427213440659</v>
      </c>
      <c r="E110" s="258">
        <f>E102/E101</f>
        <v>0.94064272134406557</v>
      </c>
      <c r="F110" s="250"/>
      <c r="H110" s="273"/>
      <c r="I110" s="273"/>
    </row>
    <row r="111" spans="1:9">
      <c r="A111" s="217"/>
      <c r="B111" s="55"/>
      <c r="C111" s="53"/>
      <c r="D111" s="53"/>
      <c r="E111" s="249"/>
      <c r="F111" s="250"/>
      <c r="H111" s="273"/>
      <c r="I111" s="273"/>
    </row>
    <row r="112" spans="1:9">
      <c r="B112" s="55" t="s">
        <v>309</v>
      </c>
      <c r="C112" s="55" t="s">
        <v>310</v>
      </c>
      <c r="D112" s="274">
        <v>0.8</v>
      </c>
      <c r="E112" s="11"/>
      <c r="F112" s="260"/>
      <c r="G112" s="252"/>
      <c r="H112" s="273"/>
      <c r="I112" s="273"/>
    </row>
    <row r="113" spans="1:11">
      <c r="B113" s="2" t="s">
        <v>311</v>
      </c>
      <c r="C113" s="57">
        <f>0.5*LN((1+C109)/(1-C109))</f>
        <v>2.090056480127914</v>
      </c>
      <c r="D113" s="53"/>
      <c r="E113" s="55"/>
      <c r="F113" s="251"/>
      <c r="G113" s="252"/>
      <c r="H113" s="273"/>
      <c r="I113" s="273"/>
    </row>
    <row r="114" spans="1:11">
      <c r="B114" s="55" t="s">
        <v>312</v>
      </c>
      <c r="C114" s="57">
        <f>SQRT(1/(D93-3))</f>
        <v>0.2581988897471611</v>
      </c>
      <c r="D114" s="1"/>
      <c r="E114" s="54"/>
      <c r="F114" s="263"/>
      <c r="G114" s="242"/>
      <c r="H114" s="273"/>
      <c r="I114" s="273"/>
    </row>
    <row r="115" spans="1:11">
      <c r="B115" s="55" t="s">
        <v>313</v>
      </c>
      <c r="C115" s="57">
        <f>NORMSINV(D112+(1-D112)/2)</f>
        <v>1.2815515655446006</v>
      </c>
      <c r="D115" s="1"/>
      <c r="E115" s="62"/>
      <c r="F115" s="263"/>
      <c r="G115" s="264"/>
      <c r="H115" s="273"/>
      <c r="I115" s="273"/>
    </row>
    <row r="116" spans="1:11">
      <c r="B116" s="55" t="s">
        <v>314</v>
      </c>
      <c r="C116" s="57">
        <f>C113+(C114*C115)</f>
        <v>2.4209516715052661</v>
      </c>
      <c r="D116" s="1"/>
      <c r="E116" s="62"/>
      <c r="F116" s="263"/>
      <c r="G116" s="264"/>
      <c r="H116" s="273"/>
      <c r="I116" s="273"/>
    </row>
    <row r="117" spans="1:11">
      <c r="B117" s="55" t="s">
        <v>315</v>
      </c>
      <c r="C117" s="57">
        <f>C113-C114*C115</f>
        <v>1.7591612887505619</v>
      </c>
      <c r="D117" s="10" t="s">
        <v>316</v>
      </c>
      <c r="E117" s="62"/>
      <c r="F117" s="263"/>
      <c r="G117" s="264"/>
      <c r="H117" s="273"/>
      <c r="I117" s="273"/>
    </row>
    <row r="118" spans="1:11">
      <c r="B118" s="55" t="s">
        <v>317</v>
      </c>
      <c r="C118" s="57">
        <f>(EXP(2*C116)-1)/(EXP(2*C116)+1)</f>
        <v>0.98433955546058061</v>
      </c>
      <c r="D118" s="57">
        <f>C118-C119</f>
        <v>1.4472182391424226E-2</v>
      </c>
      <c r="E118" s="62"/>
      <c r="F118" s="263"/>
      <c r="G118" s="264"/>
      <c r="H118" s="252"/>
      <c r="I118" s="252"/>
    </row>
    <row r="119" spans="1:11">
      <c r="B119" s="2" t="s">
        <v>318</v>
      </c>
      <c r="C119" s="57">
        <f>C109</f>
        <v>0.96986737306915638</v>
      </c>
      <c r="D119" s="62" t="s">
        <v>272</v>
      </c>
      <c r="E119" s="57" t="str">
        <f>IF(AND(D71&lt;C118,D71&gt;C120),"Yes", "No")</f>
        <v>No</v>
      </c>
      <c r="F119" s="265"/>
      <c r="G119" s="264"/>
      <c r="H119" s="262"/>
    </row>
    <row r="120" spans="1:11">
      <c r="B120" s="2" t="s">
        <v>319</v>
      </c>
      <c r="C120" s="57">
        <f>(EXP(2*C117)-1)/(EXP(2*C117)+1)</f>
        <v>0.94240926001332181</v>
      </c>
      <c r="D120" s="57">
        <f>C119-C120</f>
        <v>2.7458113055834565E-2</v>
      </c>
      <c r="E120" s="63"/>
      <c r="F120" s="266"/>
      <c r="G120" s="267"/>
      <c r="H120" s="261"/>
    </row>
    <row r="121" spans="1:11" ht="14">
      <c r="A121" s="275"/>
      <c r="B121" s="276"/>
      <c r="C121" s="60"/>
      <c r="D121" s="60"/>
      <c r="E121" s="277"/>
      <c r="F121" s="278"/>
      <c r="G121" s="279"/>
      <c r="H121" s="235"/>
      <c r="I121" s="235"/>
      <c r="J121" s="235"/>
      <c r="K121" s="235"/>
    </row>
    <row r="122" spans="1:11">
      <c r="B122" s="280" t="s">
        <v>320</v>
      </c>
      <c r="C122" s="280"/>
      <c r="D122" s="280"/>
      <c r="E122" s="10"/>
      <c r="F122" s="55"/>
      <c r="G122" s="261"/>
      <c r="H122" s="252"/>
    </row>
    <row r="123" spans="1:11" ht="14">
      <c r="B123" s="281" t="s">
        <v>321</v>
      </c>
      <c r="C123" s="282"/>
      <c r="D123" s="57" t="s">
        <v>322</v>
      </c>
      <c r="E123" s="10"/>
      <c r="F123" s="55"/>
      <c r="G123" s="261"/>
      <c r="H123" s="252"/>
    </row>
    <row r="124" spans="1:11">
      <c r="B124" s="55" t="s">
        <v>323</v>
      </c>
      <c r="C124" s="57">
        <f>RSQ(D74:D82,C74:C82)</f>
        <v>2.721634007585334E-2</v>
      </c>
      <c r="D124" s="57">
        <f>RSQ(D83:D91,C83:C91)</f>
        <v>1.9631770326290873E-2</v>
      </c>
      <c r="E124" s="10"/>
      <c r="F124" s="55"/>
      <c r="G124" s="261"/>
      <c r="H124" s="252"/>
    </row>
    <row r="125" spans="1:11">
      <c r="B125" s="55" t="s">
        <v>324</v>
      </c>
      <c r="C125" s="57">
        <f>SLOPE(D74:D82,C74:C82)</f>
        <v>-9.1814159292035374E-2</v>
      </c>
      <c r="D125" s="57">
        <f>SLOPE(D83:D91,C83:C91)</f>
        <v>0.12262825017568517</v>
      </c>
      <c r="E125" s="10"/>
      <c r="F125" s="55"/>
      <c r="G125" s="252"/>
      <c r="H125" s="252"/>
    </row>
    <row r="126" spans="1:11">
      <c r="B126" s="55" t="s">
        <v>325</v>
      </c>
      <c r="C126" s="57">
        <f>INTERCEPT(D74:D82,C74:C82)</f>
        <v>110.66482300884955</v>
      </c>
      <c r="D126" s="57">
        <f>INTERCEPT(D83:D91,C83:C91)</f>
        <v>114.97329585382995</v>
      </c>
      <c r="E126" s="11"/>
      <c r="F126" s="55"/>
      <c r="G126" s="283"/>
      <c r="H126" s="252"/>
    </row>
    <row r="127" spans="1:11">
      <c r="B127" s="242"/>
      <c r="C127" s="242"/>
      <c r="D127" s="242"/>
      <c r="E127" s="242"/>
      <c r="F127" s="242"/>
      <c r="G127" s="283"/>
      <c r="H127" s="252"/>
    </row>
    <row r="128" spans="1:11">
      <c r="C128" s="252"/>
      <c r="E128" s="234"/>
      <c r="F128" s="234"/>
      <c r="G128" s="234"/>
      <c r="H128" s="234"/>
      <c r="I128" s="234"/>
    </row>
    <row r="129" spans="1:9" ht="15">
      <c r="A129" s="231" t="s">
        <v>326</v>
      </c>
      <c r="B129" s="31" t="s">
        <v>228</v>
      </c>
      <c r="C129" s="32">
        <v>0.5</v>
      </c>
      <c r="D129" s="31" t="s">
        <v>281</v>
      </c>
      <c r="E129" s="232">
        <v>0.2</v>
      </c>
      <c r="F129" s="233"/>
      <c r="G129" s="234"/>
    </row>
    <row r="130" spans="1:9" ht="15">
      <c r="A130" s="217"/>
      <c r="B130" s="41"/>
      <c r="C130" s="116"/>
      <c r="D130" s="31" t="s">
        <v>276</v>
      </c>
      <c r="E130" s="232">
        <v>0.4</v>
      </c>
      <c r="F130" s="233"/>
      <c r="G130" s="234"/>
    </row>
    <row r="131" spans="1:9">
      <c r="B131" s="236"/>
      <c r="C131" s="236"/>
      <c r="D131" s="236"/>
      <c r="E131" s="236"/>
      <c r="F131" s="237"/>
      <c r="G131" s="238"/>
    </row>
    <row r="132" spans="1:9">
      <c r="B132" s="240" t="s">
        <v>327</v>
      </c>
      <c r="C132" s="240" t="s">
        <v>328</v>
      </c>
      <c r="D132" s="241" t="s">
        <v>329</v>
      </c>
      <c r="E132" s="240" t="s">
        <v>236</v>
      </c>
      <c r="F132" s="241" t="s">
        <v>237</v>
      </c>
      <c r="G132" s="242"/>
      <c r="H132" s="234"/>
    </row>
    <row r="133" spans="1:9">
      <c r="B133" s="237">
        <v>1</v>
      </c>
      <c r="C133" s="237">
        <v>1</v>
      </c>
      <c r="D133" s="237">
        <v>0</v>
      </c>
      <c r="E133" s="245">
        <f t="shared" ref="E133:E156" si="4">C133*$D$172+$D$173</f>
        <v>0.13333333333333341</v>
      </c>
      <c r="F133" s="245">
        <f>D133-E133</f>
        <v>-0.13333333333333341</v>
      </c>
      <c r="G133" s="242"/>
      <c r="H133" s="242"/>
    </row>
    <row r="134" spans="1:9">
      <c r="B134" s="237">
        <v>2</v>
      </c>
      <c r="C134" s="237">
        <v>0</v>
      </c>
      <c r="D134" s="237">
        <v>0</v>
      </c>
      <c r="E134" s="245">
        <f t="shared" si="4"/>
        <v>0.55555555555555558</v>
      </c>
      <c r="F134" s="245">
        <f t="shared" ref="F134:F156" si="5">D134-E134</f>
        <v>-0.55555555555555558</v>
      </c>
      <c r="G134" s="242"/>
      <c r="H134" s="242"/>
    </row>
    <row r="135" spans="1:9">
      <c r="B135" s="237">
        <v>3</v>
      </c>
      <c r="C135" s="237">
        <v>1</v>
      </c>
      <c r="D135" s="237">
        <v>0</v>
      </c>
      <c r="E135" s="245">
        <f t="shared" si="4"/>
        <v>0.13333333333333341</v>
      </c>
      <c r="F135" s="245">
        <f t="shared" si="5"/>
        <v>-0.13333333333333341</v>
      </c>
      <c r="G135" s="242"/>
      <c r="H135" s="242"/>
    </row>
    <row r="136" spans="1:9">
      <c r="B136" s="237">
        <v>4</v>
      </c>
      <c r="C136" s="237">
        <v>1</v>
      </c>
      <c r="D136" s="237">
        <v>0</v>
      </c>
      <c r="E136" s="245">
        <f t="shared" si="4"/>
        <v>0.13333333333333341</v>
      </c>
      <c r="F136" s="245">
        <f t="shared" si="5"/>
        <v>-0.13333333333333341</v>
      </c>
      <c r="G136" s="242"/>
      <c r="H136" s="242"/>
    </row>
    <row r="137" spans="1:9">
      <c r="B137" s="237">
        <v>5</v>
      </c>
      <c r="C137" s="237">
        <v>0</v>
      </c>
      <c r="D137" s="237">
        <v>1</v>
      </c>
      <c r="E137" s="245">
        <f t="shared" si="4"/>
        <v>0.55555555555555558</v>
      </c>
      <c r="F137" s="245">
        <f t="shared" si="5"/>
        <v>0.44444444444444442</v>
      </c>
      <c r="G137" s="242"/>
      <c r="H137" s="242"/>
      <c r="I137" s="246"/>
    </row>
    <row r="138" spans="1:9">
      <c r="B138" s="237">
        <v>6</v>
      </c>
      <c r="C138" s="237">
        <v>1</v>
      </c>
      <c r="D138" s="237">
        <v>1</v>
      </c>
      <c r="E138" s="245">
        <f t="shared" si="4"/>
        <v>0.13333333333333341</v>
      </c>
      <c r="F138" s="245">
        <f t="shared" si="5"/>
        <v>0.86666666666666659</v>
      </c>
      <c r="G138" s="242"/>
      <c r="H138" s="242"/>
    </row>
    <row r="139" spans="1:9">
      <c r="B139" s="237">
        <v>7</v>
      </c>
      <c r="C139" s="237">
        <v>0</v>
      </c>
      <c r="D139" s="237">
        <v>0</v>
      </c>
      <c r="E139" s="245">
        <f t="shared" si="4"/>
        <v>0.55555555555555558</v>
      </c>
      <c r="F139" s="245">
        <f t="shared" si="5"/>
        <v>-0.55555555555555558</v>
      </c>
      <c r="G139" s="242"/>
      <c r="H139" s="242"/>
      <c r="I139" s="246"/>
    </row>
    <row r="140" spans="1:9">
      <c r="B140" s="237">
        <v>8</v>
      </c>
      <c r="C140" s="237">
        <v>1</v>
      </c>
      <c r="D140" s="237">
        <v>0</v>
      </c>
      <c r="E140" s="245">
        <f t="shared" si="4"/>
        <v>0.13333333333333341</v>
      </c>
      <c r="F140" s="245">
        <f t="shared" si="5"/>
        <v>-0.13333333333333341</v>
      </c>
      <c r="G140" s="242"/>
      <c r="H140" s="234"/>
      <c r="I140" s="246"/>
    </row>
    <row r="141" spans="1:9">
      <c r="B141" s="237">
        <v>9</v>
      </c>
      <c r="C141" s="237">
        <v>0</v>
      </c>
      <c r="D141" s="237">
        <v>1</v>
      </c>
      <c r="E141" s="245">
        <f t="shared" si="4"/>
        <v>0.55555555555555558</v>
      </c>
      <c r="F141" s="245">
        <f t="shared" si="5"/>
        <v>0.44444444444444442</v>
      </c>
    </row>
    <row r="142" spans="1:9">
      <c r="B142" s="237">
        <v>10</v>
      </c>
      <c r="C142" s="237">
        <v>1</v>
      </c>
      <c r="D142" s="237">
        <v>0</v>
      </c>
      <c r="E142" s="245">
        <f t="shared" si="4"/>
        <v>0.13333333333333341</v>
      </c>
      <c r="F142" s="245">
        <f t="shared" si="5"/>
        <v>-0.13333333333333341</v>
      </c>
    </row>
    <row r="143" spans="1:9">
      <c r="B143" s="237">
        <v>11</v>
      </c>
      <c r="C143" s="237">
        <v>0</v>
      </c>
      <c r="D143" s="237">
        <v>1</v>
      </c>
      <c r="E143" s="245">
        <f t="shared" si="4"/>
        <v>0.55555555555555558</v>
      </c>
      <c r="F143" s="245">
        <f t="shared" si="5"/>
        <v>0.44444444444444442</v>
      </c>
    </row>
    <row r="144" spans="1:9">
      <c r="A144" s="217"/>
      <c r="B144" s="237">
        <v>12</v>
      </c>
      <c r="C144" s="237">
        <v>1</v>
      </c>
      <c r="D144" s="237">
        <v>0</v>
      </c>
      <c r="E144" s="245">
        <f t="shared" si="4"/>
        <v>0.13333333333333341</v>
      </c>
      <c r="F144" s="245">
        <f t="shared" si="5"/>
        <v>-0.13333333333333341</v>
      </c>
      <c r="G144" s="242"/>
      <c r="H144" s="242"/>
    </row>
    <row r="145" spans="1:9">
      <c r="A145" s="217"/>
      <c r="B145" s="237">
        <v>13</v>
      </c>
      <c r="C145" s="237">
        <v>1</v>
      </c>
      <c r="D145" s="237">
        <v>0</v>
      </c>
      <c r="E145" s="245">
        <f t="shared" si="4"/>
        <v>0.13333333333333341</v>
      </c>
      <c r="F145" s="245">
        <f t="shared" si="5"/>
        <v>-0.13333333333333341</v>
      </c>
      <c r="G145" s="242"/>
      <c r="H145" s="242"/>
    </row>
    <row r="146" spans="1:9">
      <c r="A146" s="217"/>
      <c r="B146" s="237">
        <v>14</v>
      </c>
      <c r="C146" s="237">
        <v>0</v>
      </c>
      <c r="D146" s="237">
        <v>0</v>
      </c>
      <c r="E146" s="245">
        <f t="shared" si="4"/>
        <v>0.55555555555555558</v>
      </c>
      <c r="F146" s="245">
        <f t="shared" si="5"/>
        <v>-0.55555555555555558</v>
      </c>
    </row>
    <row r="147" spans="1:9">
      <c r="A147" s="217"/>
      <c r="B147" s="237">
        <v>15</v>
      </c>
      <c r="C147" s="237">
        <v>1</v>
      </c>
      <c r="D147" s="237">
        <v>0</v>
      </c>
      <c r="E147" s="245">
        <f t="shared" si="4"/>
        <v>0.13333333333333341</v>
      </c>
      <c r="F147" s="245">
        <f t="shared" si="5"/>
        <v>-0.13333333333333341</v>
      </c>
    </row>
    <row r="148" spans="1:9">
      <c r="A148" s="217"/>
      <c r="B148" s="237">
        <v>16</v>
      </c>
      <c r="C148" s="237">
        <v>1</v>
      </c>
      <c r="D148" s="237">
        <v>0</v>
      </c>
      <c r="E148" s="245">
        <f t="shared" si="4"/>
        <v>0.13333333333333341</v>
      </c>
      <c r="F148" s="245">
        <f t="shared" si="5"/>
        <v>-0.13333333333333341</v>
      </c>
    </row>
    <row r="149" spans="1:9">
      <c r="A149" s="217"/>
      <c r="B149" s="237">
        <v>17</v>
      </c>
      <c r="C149" s="237">
        <v>1</v>
      </c>
      <c r="D149" s="237">
        <v>0</v>
      </c>
      <c r="E149" s="245">
        <f t="shared" si="4"/>
        <v>0.13333333333333341</v>
      </c>
      <c r="F149" s="245">
        <f t="shared" si="5"/>
        <v>-0.13333333333333341</v>
      </c>
      <c r="G149" s="242"/>
      <c r="H149" s="242"/>
    </row>
    <row r="150" spans="1:9">
      <c r="A150" s="217"/>
      <c r="B150" s="237">
        <v>18</v>
      </c>
      <c r="C150" s="237">
        <v>0</v>
      </c>
      <c r="D150" s="237">
        <v>1</v>
      </c>
      <c r="E150" s="245">
        <f t="shared" si="4"/>
        <v>0.55555555555555558</v>
      </c>
      <c r="F150" s="245">
        <f t="shared" si="5"/>
        <v>0.44444444444444442</v>
      </c>
      <c r="G150" s="242"/>
      <c r="H150" s="242"/>
    </row>
    <row r="151" spans="1:9">
      <c r="A151" s="217"/>
      <c r="B151" s="237">
        <v>19</v>
      </c>
      <c r="C151" s="237">
        <v>1</v>
      </c>
      <c r="D151" s="237">
        <v>1</v>
      </c>
      <c r="E151" s="245">
        <f t="shared" si="4"/>
        <v>0.13333333333333341</v>
      </c>
      <c r="F151" s="245">
        <f t="shared" si="5"/>
        <v>0.86666666666666659</v>
      </c>
      <c r="G151" s="242"/>
      <c r="H151" s="242"/>
    </row>
    <row r="152" spans="1:9">
      <c r="A152" s="217"/>
      <c r="B152" s="237">
        <v>20</v>
      </c>
      <c r="C152" s="237">
        <v>0</v>
      </c>
      <c r="D152" s="237">
        <v>1</v>
      </c>
      <c r="E152" s="245">
        <f t="shared" si="4"/>
        <v>0.55555555555555558</v>
      </c>
      <c r="F152" s="245">
        <f t="shared" si="5"/>
        <v>0.44444444444444442</v>
      </c>
      <c r="G152" s="242"/>
      <c r="H152" s="242"/>
      <c r="I152" s="246"/>
    </row>
    <row r="153" spans="1:9">
      <c r="A153" s="217"/>
      <c r="B153" s="237">
        <v>21</v>
      </c>
      <c r="C153" s="237">
        <v>0</v>
      </c>
      <c r="D153" s="237">
        <v>0</v>
      </c>
      <c r="E153" s="245">
        <f t="shared" si="4"/>
        <v>0.55555555555555558</v>
      </c>
      <c r="F153" s="245">
        <f t="shared" si="5"/>
        <v>-0.55555555555555558</v>
      </c>
      <c r="G153" s="242"/>
      <c r="H153" s="242"/>
    </row>
    <row r="154" spans="1:9">
      <c r="A154" s="217"/>
      <c r="B154" s="237">
        <v>22</v>
      </c>
      <c r="C154" s="237">
        <v>1</v>
      </c>
      <c r="D154" s="237">
        <v>0</v>
      </c>
      <c r="E154" s="245">
        <f t="shared" si="4"/>
        <v>0.13333333333333341</v>
      </c>
      <c r="F154" s="245">
        <f t="shared" si="5"/>
        <v>-0.13333333333333341</v>
      </c>
      <c r="G154" s="242"/>
      <c r="H154" s="242"/>
      <c r="I154" s="246"/>
    </row>
    <row r="155" spans="1:9">
      <c r="A155" s="217"/>
      <c r="B155" s="237">
        <v>23</v>
      </c>
      <c r="C155" s="237">
        <v>1</v>
      </c>
      <c r="D155" s="237">
        <v>0</v>
      </c>
      <c r="E155" s="245">
        <f t="shared" si="4"/>
        <v>0.13333333333333341</v>
      </c>
      <c r="F155" s="245">
        <f t="shared" si="5"/>
        <v>-0.13333333333333341</v>
      </c>
      <c r="G155" s="242"/>
      <c r="H155" s="234"/>
      <c r="I155" s="246"/>
    </row>
    <row r="156" spans="1:9">
      <c r="A156" s="217"/>
      <c r="B156" s="302">
        <v>24</v>
      </c>
      <c r="C156" s="302">
        <v>1</v>
      </c>
      <c r="D156" s="302">
        <v>0</v>
      </c>
      <c r="E156" s="240">
        <f t="shared" si="4"/>
        <v>0.13333333333333341</v>
      </c>
      <c r="F156" s="240">
        <f t="shared" si="5"/>
        <v>-0.13333333333333341</v>
      </c>
    </row>
    <row r="157" spans="1:9">
      <c r="A157" s="217"/>
      <c r="B157" s="247"/>
      <c r="C157" s="245"/>
      <c r="D157" s="248"/>
      <c r="E157" s="245"/>
      <c r="F157" s="245">
        <f>SUM(F133:F156)</f>
        <v>-1.4432899320127035E-15</v>
      </c>
    </row>
    <row r="158" spans="1:9">
      <c r="A158" s="217"/>
      <c r="B158" s="249"/>
      <c r="C158" s="55" t="s">
        <v>330</v>
      </c>
      <c r="D158" s="10">
        <f>COUNT(B133:B156)</f>
        <v>24</v>
      </c>
      <c r="E158" s="249"/>
      <c r="F158" s="250"/>
    </row>
    <row r="159" spans="1:9">
      <c r="A159" s="217"/>
      <c r="B159" s="59" t="s">
        <v>239</v>
      </c>
      <c r="C159" s="10">
        <f>SUM(C133:C156)</f>
        <v>15</v>
      </c>
      <c r="D159" s="59" t="s">
        <v>240</v>
      </c>
      <c r="E159" s="10">
        <f>SUM(D133:D156)</f>
        <v>7</v>
      </c>
      <c r="F159" s="251"/>
      <c r="G159" s="252"/>
    </row>
    <row r="160" spans="1:9" ht="15">
      <c r="A160" s="217"/>
      <c r="B160" s="55" t="s">
        <v>241</v>
      </c>
      <c r="C160" s="10">
        <f>C159^2</f>
        <v>225</v>
      </c>
      <c r="D160" s="55" t="s">
        <v>242</v>
      </c>
      <c r="E160" s="10">
        <f>E159^2</f>
        <v>49</v>
      </c>
      <c r="F160" s="253"/>
    </row>
    <row r="161" spans="1:7" ht="15">
      <c r="A161" s="217"/>
      <c r="B161" s="55" t="s">
        <v>243</v>
      </c>
      <c r="C161" s="10">
        <f>D158*SUMSQ(C133:C156)</f>
        <v>360</v>
      </c>
      <c r="D161" s="55" t="s">
        <v>244</v>
      </c>
      <c r="E161" s="10">
        <f>D158*SUMSQ(D133:D156)</f>
        <v>168</v>
      </c>
      <c r="F161" s="254"/>
      <c r="G161" s="255"/>
    </row>
    <row r="162" spans="1:7">
      <c r="A162" s="217"/>
      <c r="B162" s="55"/>
      <c r="C162" s="55" t="s">
        <v>245</v>
      </c>
      <c r="D162" s="1">
        <f>D158*SUMPRODUCT(C133:C156,D133:D156)</f>
        <v>48</v>
      </c>
      <c r="E162" s="249"/>
      <c r="F162" s="250"/>
    </row>
    <row r="163" spans="1:7">
      <c r="A163" s="217"/>
      <c r="B163" s="55"/>
      <c r="C163" s="53"/>
      <c r="D163" s="1"/>
      <c r="E163" s="249"/>
      <c r="F163" s="250"/>
    </row>
    <row r="164" spans="1:7" ht="15">
      <c r="A164" s="217"/>
      <c r="B164" s="55" t="s">
        <v>246</v>
      </c>
      <c r="C164" s="57">
        <f>AVERAGE(C133:C156)</f>
        <v>0.625</v>
      </c>
      <c r="D164" s="55" t="s">
        <v>247</v>
      </c>
      <c r="E164" s="57">
        <f>AVERAGE(D133:D156)</f>
        <v>0.29166666666666669</v>
      </c>
      <c r="F164" s="250"/>
    </row>
    <row r="165" spans="1:7" ht="15">
      <c r="A165" s="217"/>
      <c r="B165" s="55" t="s">
        <v>248</v>
      </c>
      <c r="C165" s="57">
        <f>STDEVPA(C133:C156)</f>
        <v>0.48412291827592713</v>
      </c>
      <c r="D165" s="55" t="s">
        <v>249</v>
      </c>
      <c r="E165" s="57">
        <f>STDEVPA(D133:D156)</f>
        <v>0.45452967144315476</v>
      </c>
      <c r="F165" s="250"/>
    </row>
    <row r="166" spans="1:7" ht="15">
      <c r="A166" s="217"/>
      <c r="B166" s="55" t="s">
        <v>250</v>
      </c>
      <c r="C166" s="57">
        <f>C165^2</f>
        <v>0.23437500000000003</v>
      </c>
      <c r="D166" s="55" t="s">
        <v>251</v>
      </c>
      <c r="E166" s="57">
        <f>E165^2</f>
        <v>0.20659722222222221</v>
      </c>
      <c r="F166" s="250"/>
    </row>
    <row r="167" spans="1:7" ht="15">
      <c r="A167" s="217"/>
      <c r="B167" s="55"/>
      <c r="C167" s="57"/>
      <c r="D167" s="55" t="s">
        <v>252</v>
      </c>
      <c r="E167" s="57">
        <f>VARP(E133:E156)</f>
        <v>4.1782407407407414E-2</v>
      </c>
      <c r="F167" s="250"/>
    </row>
    <row r="168" spans="1:7" ht="15">
      <c r="A168" s="217"/>
      <c r="B168" s="55"/>
      <c r="C168" s="57"/>
      <c r="D168" s="55" t="s">
        <v>253</v>
      </c>
      <c r="E168" s="57">
        <f>VARP(F133:F156)</f>
        <v>0.16481481481481486</v>
      </c>
      <c r="F168" s="250"/>
    </row>
    <row r="169" spans="1:7" ht="15">
      <c r="A169" s="217"/>
      <c r="B169" s="55"/>
      <c r="C169" s="57"/>
      <c r="D169" s="55" t="s">
        <v>254</v>
      </c>
      <c r="E169" s="57">
        <f>E167+E168</f>
        <v>0.20659722222222227</v>
      </c>
      <c r="F169" s="250"/>
    </row>
    <row r="170" spans="1:7">
      <c r="A170" s="217"/>
      <c r="B170" s="55"/>
      <c r="C170" s="57"/>
      <c r="D170" s="1"/>
      <c r="E170" s="249"/>
      <c r="F170" s="250"/>
    </row>
    <row r="171" spans="1:7" ht="15">
      <c r="A171" s="217"/>
      <c r="B171" s="249"/>
      <c r="C171" s="51" t="s">
        <v>306</v>
      </c>
      <c r="D171" s="51" t="s">
        <v>331</v>
      </c>
      <c r="E171" s="51" t="s">
        <v>257</v>
      </c>
      <c r="F171" s="250"/>
    </row>
    <row r="172" spans="1:7">
      <c r="A172" s="217"/>
      <c r="B172" s="55" t="s">
        <v>332</v>
      </c>
      <c r="C172" s="53">
        <f>(D162-C159*E159)/(C161-C160)</f>
        <v>-0.42222222222222222</v>
      </c>
      <c r="D172" s="53">
        <f>SLOPE(D133:D156,C133:C156)</f>
        <v>-0.42222222222222217</v>
      </c>
      <c r="E172" s="53"/>
      <c r="F172" s="250"/>
    </row>
    <row r="173" spans="1:7">
      <c r="A173" s="217"/>
      <c r="B173" s="55" t="s">
        <v>333</v>
      </c>
      <c r="C173" s="53">
        <f>(E159-C172*C159)/D158</f>
        <v>0.55555555555555547</v>
      </c>
      <c r="D173" s="53">
        <f>INTERCEPT(D133:D156,C133:C156)</f>
        <v>0.55555555555555558</v>
      </c>
      <c r="E173" s="53"/>
      <c r="F173" s="250"/>
    </row>
    <row r="174" spans="1:7">
      <c r="A174" s="217"/>
      <c r="B174" s="55" t="s">
        <v>323</v>
      </c>
      <c r="C174" s="53">
        <f>(D162-C159*E159)/SQRT(((C161-C160)*(E161-E160)))</f>
        <v>-0.44971201491459334</v>
      </c>
      <c r="D174" s="53">
        <f>PEARSON(D133:D156,C133:C156)</f>
        <v>-0.44971201491459312</v>
      </c>
      <c r="E174" s="53"/>
      <c r="F174" s="250"/>
    </row>
    <row r="175" spans="1:7" ht="15">
      <c r="A175" s="217"/>
      <c r="B175" s="55" t="s">
        <v>261</v>
      </c>
      <c r="C175" s="53">
        <f>C174^2</f>
        <v>0.20224089635854342</v>
      </c>
      <c r="D175" s="53">
        <f>D174^2</f>
        <v>0.20224089635854323</v>
      </c>
      <c r="E175" s="258">
        <f>E167/E166</f>
        <v>0.20224089635854345</v>
      </c>
      <c r="F175" s="250"/>
    </row>
    <row r="176" spans="1:7">
      <c r="A176" s="217"/>
      <c r="B176" s="55"/>
      <c r="C176" s="53"/>
      <c r="D176" s="53"/>
      <c r="E176" s="249"/>
      <c r="F176" s="250"/>
    </row>
    <row r="177" spans="1:11">
      <c r="A177" s="217"/>
      <c r="B177" s="55" t="s">
        <v>334</v>
      </c>
      <c r="C177" s="55" t="s">
        <v>335</v>
      </c>
      <c r="D177" s="274">
        <v>0.8</v>
      </c>
      <c r="E177" s="11"/>
      <c r="F177" s="260"/>
      <c r="G177" s="252"/>
      <c r="H177" s="261"/>
    </row>
    <row r="178" spans="1:11">
      <c r="A178" s="217"/>
      <c r="B178" s="2" t="s">
        <v>336</v>
      </c>
      <c r="C178" s="57">
        <f>0.5*LN((1+C174)/(1-C174))</f>
        <v>-0.48433922742400543</v>
      </c>
      <c r="D178" s="53"/>
      <c r="E178" s="55"/>
      <c r="F178" s="251"/>
      <c r="G178" s="252"/>
      <c r="H178" s="262"/>
      <c r="I178" s="234"/>
    </row>
    <row r="179" spans="1:11">
      <c r="A179" s="217"/>
      <c r="B179" s="55" t="s">
        <v>312</v>
      </c>
      <c r="C179" s="57">
        <f>SQRT(1/(D158-3))</f>
        <v>0.21821789023599236</v>
      </c>
      <c r="D179" s="1"/>
      <c r="E179" s="54"/>
      <c r="F179" s="263"/>
      <c r="G179" s="242"/>
      <c r="H179" s="234"/>
      <c r="I179" s="234"/>
    </row>
    <row r="180" spans="1:11">
      <c r="A180" s="217"/>
      <c r="B180" s="55" t="s">
        <v>337</v>
      </c>
      <c r="C180" s="57">
        <f>NORMSINV(D177+(1-D177)/2)</f>
        <v>1.2815515655446006</v>
      </c>
      <c r="D180" s="1"/>
      <c r="E180" s="62"/>
      <c r="F180" s="263"/>
      <c r="G180" s="264"/>
      <c r="H180" s="252"/>
      <c r="I180" s="252"/>
    </row>
    <row r="181" spans="1:11">
      <c r="A181" s="217"/>
      <c r="B181" s="55" t="s">
        <v>338</v>
      </c>
      <c r="C181" s="57">
        <f>C178+(C179*C180)</f>
        <v>-0.20468174856222959</v>
      </c>
      <c r="D181" s="1"/>
      <c r="E181" s="62"/>
      <c r="F181" s="263"/>
      <c r="G181" s="264"/>
      <c r="H181" s="252"/>
      <c r="I181" s="252"/>
    </row>
    <row r="182" spans="1:11">
      <c r="A182" s="217"/>
      <c r="B182" s="55" t="s">
        <v>339</v>
      </c>
      <c r="C182" s="57">
        <f>C178-C179*C180</f>
        <v>-0.76399670628578131</v>
      </c>
      <c r="D182" s="10" t="s">
        <v>340</v>
      </c>
      <c r="E182" s="62"/>
      <c r="F182" s="263"/>
      <c r="G182" s="264"/>
      <c r="H182" s="252"/>
      <c r="I182" s="252"/>
    </row>
    <row r="183" spans="1:11">
      <c r="A183" s="217"/>
      <c r="B183" s="55" t="s">
        <v>341</v>
      </c>
      <c r="C183" s="57">
        <f>(EXP(2*C181)-1)/(EXP(2*C181)+1)</f>
        <v>-0.20187049516714628</v>
      </c>
      <c r="D183" s="57">
        <f>C183-C184</f>
        <v>0.24784151974744706</v>
      </c>
      <c r="E183" s="62"/>
      <c r="F183" s="263"/>
      <c r="G183" s="264"/>
      <c r="H183" s="252"/>
      <c r="I183" s="252"/>
    </row>
    <row r="184" spans="1:11">
      <c r="A184" s="217"/>
      <c r="B184" s="2" t="s">
        <v>342</v>
      </c>
      <c r="C184" s="57">
        <f>C174</f>
        <v>-0.44971201491459334</v>
      </c>
      <c r="D184" s="62"/>
      <c r="E184" s="57"/>
      <c r="F184" s="265"/>
      <c r="G184" s="264"/>
      <c r="H184" s="262"/>
    </row>
    <row r="185" spans="1:11">
      <c r="A185" s="217"/>
      <c r="B185" s="2" t="s">
        <v>343</v>
      </c>
      <c r="C185" s="57">
        <f>(EXP(2*C182)-1)/(EXP(2*C182)+1)</f>
        <v>-0.64342507361240242</v>
      </c>
      <c r="D185" s="57">
        <f>C184-C185</f>
        <v>0.19371305869780908</v>
      </c>
      <c r="E185" s="63"/>
      <c r="F185" s="266"/>
      <c r="G185" s="267"/>
      <c r="H185" s="261"/>
    </row>
    <row r="186" spans="1:11">
      <c r="B186" s="252"/>
      <c r="C186" s="284"/>
      <c r="D186" s="285"/>
      <c r="E186" s="242"/>
      <c r="F186" s="242"/>
      <c r="G186" s="242"/>
      <c r="H186" s="242"/>
      <c r="I186" s="242"/>
      <c r="J186" s="234"/>
    </row>
    <row r="187" spans="1:11">
      <c r="B187" s="286"/>
      <c r="C187" s="264"/>
      <c r="D187" s="287"/>
      <c r="E187" s="238"/>
      <c r="F187" s="238"/>
      <c r="G187" s="238"/>
      <c r="H187" s="238"/>
      <c r="I187" s="238"/>
      <c r="J187" s="242"/>
    </row>
    <row r="188" spans="1:11" s="289" customFormat="1">
      <c r="A188" s="288"/>
      <c r="B188" s="217"/>
      <c r="C188" s="264"/>
      <c r="D188" s="261"/>
      <c r="E188" s="238"/>
      <c r="F188" s="238"/>
      <c r="G188" s="238"/>
      <c r="H188" s="238"/>
      <c r="I188" s="238"/>
      <c r="J188" s="242"/>
      <c r="K188" s="217"/>
    </row>
    <row r="189" spans="1:11">
      <c r="A189" s="217"/>
      <c r="C189" s="238"/>
      <c r="D189" s="252"/>
      <c r="E189" s="238"/>
      <c r="F189" s="238"/>
      <c r="G189" s="238"/>
      <c r="H189" s="238"/>
      <c r="I189" s="242"/>
      <c r="J189" s="292"/>
    </row>
    <row r="190" spans="1:11">
      <c r="A190" s="217"/>
      <c r="D190" s="267"/>
      <c r="E190" s="238"/>
      <c r="F190" s="238"/>
      <c r="G190" s="238"/>
      <c r="H190" s="238"/>
      <c r="I190" s="242"/>
    </row>
    <row r="191" spans="1:11">
      <c r="A191" s="217"/>
      <c r="C191" s="238"/>
      <c r="D191" s="292"/>
      <c r="E191" s="238"/>
      <c r="F191" s="238"/>
      <c r="G191" s="238"/>
      <c r="H191" s="238"/>
      <c r="I191" s="242"/>
      <c r="J191" s="234"/>
    </row>
    <row r="192" spans="1:11">
      <c r="A192" s="217"/>
      <c r="C192" s="238"/>
      <c r="D192" s="292"/>
      <c r="E192" s="238"/>
      <c r="F192" s="238"/>
      <c r="G192" s="238"/>
      <c r="H192" s="238"/>
      <c r="I192" s="242"/>
    </row>
    <row r="193" spans="1:10">
      <c r="A193" s="217"/>
      <c r="C193" s="238"/>
      <c r="D193" s="252"/>
      <c r="E193" s="238"/>
      <c r="F193" s="238"/>
      <c r="G193" s="238"/>
      <c r="H193" s="238"/>
      <c r="I193" s="242"/>
      <c r="J193" s="292"/>
    </row>
    <row r="194" spans="1:10">
      <c r="A194" s="217"/>
      <c r="D194" s="267"/>
      <c r="E194" s="238"/>
      <c r="F194" s="238"/>
      <c r="G194" s="238"/>
      <c r="H194" s="238"/>
      <c r="I194" s="242"/>
    </row>
    <row r="195" spans="1:10">
      <c r="A195" s="217"/>
      <c r="C195" s="238"/>
      <c r="D195" s="292"/>
      <c r="E195" s="238"/>
      <c r="F195" s="238"/>
      <c r="G195" s="238"/>
      <c r="H195" s="238"/>
      <c r="I195" s="242"/>
      <c r="J195" s="234"/>
    </row>
    <row r="196" spans="1:10">
      <c r="A196" s="217"/>
      <c r="C196" s="238"/>
      <c r="D196" s="292"/>
      <c r="E196" s="238"/>
      <c r="F196" s="238"/>
      <c r="G196" s="238"/>
      <c r="H196" s="238"/>
      <c r="I196" s="242"/>
    </row>
    <row r="197" spans="1:10">
      <c r="A197" s="217"/>
      <c r="C197" s="238"/>
      <c r="D197" s="252"/>
      <c r="E197" s="238"/>
      <c r="F197" s="238"/>
      <c r="G197" s="238"/>
      <c r="H197" s="238"/>
      <c r="I197" s="242"/>
      <c r="J197" s="292"/>
    </row>
    <row r="198" spans="1:10">
      <c r="A198" s="217"/>
      <c r="D198" s="267"/>
      <c r="E198" s="238"/>
      <c r="F198" s="238"/>
      <c r="G198" s="238"/>
      <c r="H198" s="238"/>
      <c r="I198" s="242"/>
    </row>
    <row r="199" spans="1:10">
      <c r="A199" s="217"/>
      <c r="C199" s="238"/>
      <c r="D199" s="292"/>
      <c r="E199" s="238"/>
      <c r="F199" s="238"/>
      <c r="G199" s="238"/>
      <c r="H199" s="238"/>
      <c r="I199" s="242"/>
      <c r="J199" s="234"/>
    </row>
    <row r="200" spans="1:10">
      <c r="A200" s="217"/>
      <c r="C200" s="238"/>
      <c r="D200" s="292"/>
      <c r="E200" s="238"/>
      <c r="F200" s="238"/>
      <c r="G200" s="238"/>
      <c r="H200" s="238"/>
      <c r="I200" s="242"/>
    </row>
    <row r="201" spans="1:10">
      <c r="A201" s="217"/>
      <c r="C201" s="238"/>
      <c r="D201" s="252"/>
      <c r="E201" s="238"/>
      <c r="F201" s="238"/>
      <c r="G201" s="238"/>
      <c r="H201" s="238"/>
      <c r="I201" s="242"/>
      <c r="J201" s="292"/>
    </row>
    <row r="202" spans="1:10">
      <c r="A202" s="217"/>
      <c r="B202" s="286"/>
      <c r="C202" s="252"/>
      <c r="D202" s="264"/>
      <c r="E202" s="242"/>
      <c r="F202" s="242"/>
      <c r="G202" s="242"/>
      <c r="H202" s="242"/>
      <c r="I202" s="242"/>
      <c r="J202" s="246"/>
    </row>
    <row r="203" spans="1:10">
      <c r="A203" s="217"/>
      <c r="D203" s="264"/>
      <c r="E203" s="242"/>
      <c r="F203" s="242"/>
      <c r="G203" s="242"/>
      <c r="H203" s="242"/>
      <c r="I203" s="234"/>
      <c r="J203" s="246"/>
    </row>
    <row r="204" spans="1:10" ht="14">
      <c r="A204" s="217"/>
      <c r="B204" s="291"/>
      <c r="C204" s="234"/>
      <c r="D204" s="234"/>
      <c r="E204" s="234"/>
      <c r="F204" s="252"/>
      <c r="G204" s="252"/>
      <c r="H204" s="252"/>
      <c r="I204" s="252"/>
    </row>
    <row r="205" spans="1:10">
      <c r="A205" s="217"/>
      <c r="B205" s="234"/>
      <c r="C205" s="292"/>
      <c r="D205" s="238"/>
      <c r="F205" s="290"/>
      <c r="G205" s="273"/>
      <c r="H205" s="261"/>
    </row>
    <row r="206" spans="1:10">
      <c r="A206" s="217"/>
      <c r="B206" s="252"/>
      <c r="C206" s="293"/>
      <c r="D206" s="286"/>
      <c r="F206" s="273"/>
      <c r="G206" s="273"/>
      <c r="H206" s="273"/>
      <c r="I206" s="273"/>
    </row>
    <row r="207" spans="1:10">
      <c r="A207" s="217"/>
      <c r="B207" s="252"/>
      <c r="C207" s="293"/>
      <c r="D207" s="286"/>
      <c r="H207" s="273"/>
      <c r="I207" s="273"/>
    </row>
    <row r="208" spans="1:10">
      <c r="A208" s="217"/>
      <c r="B208" s="252"/>
      <c r="C208" s="293"/>
      <c r="D208" s="286"/>
      <c r="H208" s="273"/>
      <c r="I208" s="273"/>
    </row>
    <row r="209" spans="1:10">
      <c r="A209" s="217"/>
      <c r="B209" s="234"/>
      <c r="C209" s="292"/>
      <c r="D209" s="238"/>
      <c r="E209" s="234"/>
    </row>
    <row r="210" spans="1:10">
      <c r="A210" s="217"/>
      <c r="B210" s="284"/>
      <c r="C210" s="290"/>
      <c r="D210" s="261"/>
    </row>
    <row r="211" spans="1:10">
      <c r="A211" s="217"/>
      <c r="B211" s="234"/>
    </row>
    <row r="212" spans="1:10">
      <c r="A212" s="217"/>
      <c r="B212" s="284"/>
      <c r="C212" s="252"/>
      <c r="D212" s="286"/>
    </row>
    <row r="213" spans="1:10">
      <c r="A213" s="217"/>
      <c r="B213" s="294"/>
      <c r="C213" s="234"/>
      <c r="D213" s="295"/>
      <c r="E213" s="234"/>
      <c r="F213" s="284"/>
      <c r="I213" s="296"/>
    </row>
    <row r="214" spans="1:10">
      <c r="A214" s="217"/>
      <c r="B214" s="252"/>
      <c r="C214" s="284"/>
      <c r="D214" s="252"/>
      <c r="E214" s="284"/>
      <c r="H214" s="252"/>
      <c r="I214" s="284"/>
    </row>
    <row r="215" spans="1:10">
      <c r="B215" s="252"/>
      <c r="C215" s="284"/>
      <c r="D215" s="252"/>
      <c r="E215" s="284"/>
      <c r="H215" s="252"/>
      <c r="I215" s="284"/>
    </row>
    <row r="216" spans="1:10">
      <c r="B216" s="252"/>
      <c r="C216" s="284"/>
      <c r="D216" s="252"/>
      <c r="E216" s="284"/>
      <c r="H216" s="252"/>
      <c r="I216" s="284"/>
    </row>
    <row r="217" spans="1:10">
      <c r="B217" s="252"/>
      <c r="C217" s="284"/>
      <c r="D217" s="252"/>
      <c r="E217" s="284"/>
      <c r="H217" s="252"/>
      <c r="I217" s="284"/>
      <c r="J217" s="261"/>
    </row>
    <row r="218" spans="1:10" ht="14">
      <c r="B218" s="291"/>
      <c r="C218" s="291"/>
    </row>
    <row r="219" spans="1:10">
      <c r="B219" s="252"/>
      <c r="C219" s="252"/>
      <c r="D219" s="283"/>
    </row>
    <row r="220" spans="1:10" ht="14">
      <c r="A220" s="275"/>
      <c r="B220" s="128"/>
      <c r="C220" s="128"/>
      <c r="D220" s="252"/>
      <c r="E220" s="261"/>
      <c r="F220" s="252"/>
      <c r="G220" s="261"/>
      <c r="H220" s="252"/>
    </row>
    <row r="221" spans="1:10">
      <c r="D221" s="252"/>
      <c r="E221" s="261"/>
      <c r="F221" s="252"/>
      <c r="G221" s="261"/>
      <c r="H221" s="252"/>
    </row>
    <row r="222" spans="1:10">
      <c r="D222" s="252"/>
      <c r="E222" s="261"/>
      <c r="F222" s="252"/>
      <c r="G222" s="261"/>
      <c r="H222" s="252"/>
    </row>
    <row r="223" spans="1:10">
      <c r="D223" s="252"/>
      <c r="E223" s="261"/>
      <c r="F223" s="252"/>
      <c r="G223" s="252"/>
      <c r="H223" s="252"/>
    </row>
    <row r="224" spans="1:10">
      <c r="D224" s="123"/>
      <c r="E224" s="290"/>
      <c r="F224" s="252"/>
      <c r="G224" s="283"/>
      <c r="H224" s="252"/>
    </row>
    <row r="225" spans="1:10">
      <c r="B225" s="234"/>
      <c r="C225" s="234"/>
      <c r="D225" s="123"/>
      <c r="E225" s="290"/>
      <c r="F225" s="123"/>
      <c r="G225" s="267"/>
      <c r="H225" s="252"/>
    </row>
    <row r="226" spans="1:10">
      <c r="B226" s="123"/>
      <c r="C226" s="290"/>
      <c r="D226" s="123"/>
      <c r="E226" s="234"/>
      <c r="F226" s="234"/>
      <c r="G226" s="234"/>
      <c r="H226" s="234"/>
    </row>
    <row r="227" spans="1:10">
      <c r="B227" s="123"/>
      <c r="C227" s="290"/>
      <c r="D227" s="252"/>
      <c r="E227" s="238"/>
      <c r="F227" s="238"/>
      <c r="G227" s="238"/>
      <c r="H227" s="238"/>
    </row>
    <row r="228" spans="1:10">
      <c r="B228" s="123"/>
      <c r="C228" s="290"/>
      <c r="D228" s="262"/>
      <c r="E228" s="292"/>
      <c r="F228" s="292"/>
      <c r="G228" s="292"/>
      <c r="H228" s="292"/>
    </row>
    <row r="229" spans="1:10">
      <c r="D229" s="262"/>
      <c r="E229" s="292"/>
      <c r="F229" s="292"/>
      <c r="G229" s="292"/>
      <c r="H229" s="292"/>
    </row>
    <row r="230" spans="1:10">
      <c r="D230" s="262"/>
      <c r="E230" s="292"/>
      <c r="F230" s="292"/>
      <c r="G230" s="292"/>
      <c r="H230" s="292"/>
    </row>
    <row r="231" spans="1:10">
      <c r="A231" s="217"/>
      <c r="B231" s="267"/>
      <c r="C231" s="267"/>
      <c r="D231" s="262"/>
      <c r="E231" s="292"/>
      <c r="F231" s="292"/>
      <c r="G231" s="292"/>
      <c r="H231" s="292"/>
    </row>
    <row r="232" spans="1:10">
      <c r="A232" s="217"/>
      <c r="B232" s="267"/>
      <c r="C232" s="267"/>
      <c r="D232" s="262"/>
      <c r="E232" s="292"/>
      <c r="F232" s="292"/>
      <c r="G232" s="292"/>
      <c r="H232" s="292"/>
    </row>
    <row r="233" spans="1:10">
      <c r="A233" s="217"/>
      <c r="B233" s="267"/>
      <c r="C233" s="267"/>
      <c r="D233" s="264"/>
      <c r="E233" s="123"/>
      <c r="F233" s="267"/>
      <c r="G233" s="123"/>
      <c r="H233" s="267"/>
    </row>
    <row r="234" spans="1:10">
      <c r="A234" s="217"/>
      <c r="C234" s="123"/>
      <c r="D234" s="252"/>
      <c r="E234" s="234"/>
      <c r="F234" s="234"/>
      <c r="G234" s="234"/>
      <c r="H234" s="234"/>
    </row>
    <row r="235" spans="1:10">
      <c r="A235" s="217"/>
      <c r="C235" s="123"/>
      <c r="D235" s="267"/>
      <c r="E235" s="238"/>
      <c r="F235" s="238"/>
      <c r="G235" s="238"/>
      <c r="H235" s="238"/>
    </row>
    <row r="236" spans="1:10">
      <c r="A236" s="217"/>
      <c r="C236" s="267"/>
      <c r="D236" s="264"/>
      <c r="E236" s="242"/>
      <c r="F236" s="242"/>
      <c r="G236" s="242"/>
      <c r="H236" s="242"/>
    </row>
    <row r="237" spans="1:10">
      <c r="A237" s="217"/>
      <c r="C237" s="267"/>
      <c r="D237" s="264"/>
      <c r="E237" s="242"/>
      <c r="F237" s="242"/>
      <c r="G237" s="242"/>
      <c r="H237" s="242"/>
    </row>
    <row r="238" spans="1:10">
      <c r="A238" s="217"/>
      <c r="C238" s="234"/>
      <c r="D238" s="234"/>
      <c r="I238" s="234"/>
      <c r="J238" s="234"/>
    </row>
    <row r="239" spans="1:10">
      <c r="A239" s="217"/>
      <c r="D239" s="267"/>
      <c r="E239" s="238"/>
      <c r="F239" s="238"/>
      <c r="G239" s="238"/>
      <c r="H239" s="238"/>
      <c r="I239" s="242"/>
    </row>
    <row r="240" spans="1:10">
      <c r="A240" s="217"/>
      <c r="C240" s="238"/>
      <c r="D240" s="292"/>
      <c r="E240" s="238"/>
      <c r="F240" s="238"/>
      <c r="G240" s="238"/>
      <c r="H240" s="238"/>
      <c r="I240" s="242"/>
      <c r="J240" s="234"/>
    </row>
    <row r="241" spans="1:10">
      <c r="A241" s="217"/>
      <c r="C241" s="238"/>
      <c r="D241" s="292"/>
      <c r="E241" s="238"/>
      <c r="F241" s="238"/>
      <c r="G241" s="238"/>
      <c r="H241" s="238"/>
      <c r="I241" s="242"/>
    </row>
    <row r="242" spans="1:10">
      <c r="A242" s="217"/>
      <c r="C242" s="238"/>
      <c r="D242" s="252"/>
      <c r="E242" s="238"/>
      <c r="F242" s="238"/>
      <c r="G242" s="238"/>
      <c r="H242" s="238"/>
      <c r="I242" s="242"/>
      <c r="J242" s="292"/>
    </row>
    <row r="243" spans="1:10">
      <c r="A243" s="217"/>
      <c r="D243" s="267"/>
      <c r="E243" s="238"/>
      <c r="F243" s="238"/>
      <c r="G243" s="238"/>
      <c r="H243" s="238"/>
      <c r="I243" s="242"/>
    </row>
    <row r="244" spans="1:10">
      <c r="A244" s="217"/>
      <c r="C244" s="238"/>
      <c r="D244" s="292"/>
      <c r="E244" s="238"/>
      <c r="F244" s="238"/>
      <c r="G244" s="238"/>
      <c r="H244" s="238"/>
      <c r="I244" s="242"/>
      <c r="J244" s="234"/>
    </row>
    <row r="245" spans="1:10">
      <c r="A245" s="217"/>
      <c r="C245" s="238"/>
      <c r="D245" s="292"/>
      <c r="E245" s="238"/>
      <c r="F245" s="238"/>
      <c r="G245" s="238"/>
      <c r="H245" s="238"/>
      <c r="I245" s="242"/>
    </row>
    <row r="246" spans="1:10">
      <c r="A246" s="217"/>
      <c r="C246" s="238"/>
      <c r="D246" s="252"/>
      <c r="E246" s="238"/>
      <c r="F246" s="238"/>
      <c r="G246" s="238"/>
      <c r="H246" s="238"/>
      <c r="I246" s="242"/>
      <c r="J246" s="292"/>
    </row>
    <row r="247" spans="1:10">
      <c r="A247" s="217"/>
      <c r="D247" s="267"/>
      <c r="E247" s="238"/>
      <c r="F247" s="238"/>
      <c r="G247" s="238"/>
      <c r="H247" s="238"/>
      <c r="I247" s="242"/>
    </row>
    <row r="248" spans="1:10">
      <c r="A248" s="217"/>
      <c r="C248" s="238"/>
      <c r="D248" s="292"/>
      <c r="E248" s="238"/>
      <c r="F248" s="238"/>
      <c r="G248" s="238"/>
      <c r="H248" s="238"/>
      <c r="I248" s="242"/>
      <c r="J248" s="234"/>
    </row>
    <row r="249" spans="1:10">
      <c r="A249" s="217"/>
      <c r="C249" s="238"/>
      <c r="D249" s="292"/>
      <c r="E249" s="238"/>
      <c r="F249" s="238"/>
      <c r="G249" s="238"/>
      <c r="H249" s="238"/>
      <c r="I249" s="242"/>
    </row>
    <row r="250" spans="1:10">
      <c r="A250" s="217"/>
      <c r="C250" s="238"/>
      <c r="D250" s="252"/>
      <c r="E250" s="238"/>
      <c r="F250" s="238"/>
      <c r="G250" s="238"/>
      <c r="H250" s="238"/>
      <c r="I250" s="242"/>
      <c r="J250" s="292"/>
    </row>
    <row r="251" spans="1:10">
      <c r="A251" s="217"/>
      <c r="D251" s="267"/>
      <c r="E251" s="238"/>
      <c r="F251" s="238"/>
      <c r="G251" s="238"/>
      <c r="H251" s="238"/>
      <c r="I251" s="242"/>
    </row>
    <row r="252" spans="1:10">
      <c r="A252" s="217"/>
      <c r="C252" s="238"/>
      <c r="D252" s="292"/>
      <c r="E252" s="238"/>
      <c r="F252" s="238"/>
      <c r="G252" s="238"/>
      <c r="H252" s="238"/>
      <c r="I252" s="242"/>
      <c r="J252" s="234"/>
    </row>
    <row r="253" spans="1:10">
      <c r="A253" s="217"/>
      <c r="C253" s="238"/>
      <c r="D253" s="292"/>
      <c r="E253" s="238"/>
      <c r="F253" s="238"/>
      <c r="G253" s="238"/>
      <c r="H253" s="238"/>
      <c r="I253" s="242"/>
    </row>
    <row r="254" spans="1:10">
      <c r="A254" s="217"/>
      <c r="C254" s="238"/>
      <c r="D254" s="252"/>
      <c r="E254" s="238"/>
      <c r="F254" s="238"/>
      <c r="G254" s="238"/>
      <c r="H254" s="238"/>
      <c r="I254" s="242"/>
      <c r="J254" s="292"/>
    </row>
    <row r="255" spans="1:10">
      <c r="A255" s="217"/>
      <c r="D255" s="267"/>
      <c r="E255" s="238"/>
      <c r="F255" s="238"/>
      <c r="G255" s="238"/>
      <c r="H255" s="238"/>
      <c r="I255" s="242"/>
    </row>
    <row r="256" spans="1:10">
      <c r="A256" s="217"/>
      <c r="C256" s="238"/>
      <c r="D256" s="292"/>
      <c r="E256" s="238"/>
      <c r="F256" s="238"/>
      <c r="G256" s="238"/>
      <c r="H256" s="238"/>
      <c r="I256" s="242"/>
      <c r="J256" s="234"/>
    </row>
    <row r="257" spans="1:10">
      <c r="A257" s="217"/>
      <c r="C257" s="238"/>
      <c r="D257" s="292"/>
      <c r="E257" s="238"/>
      <c r="F257" s="238"/>
      <c r="G257" s="238"/>
      <c r="H257" s="238"/>
      <c r="I257" s="242"/>
    </row>
    <row r="258" spans="1:10">
      <c r="A258" s="217"/>
      <c r="C258" s="238"/>
      <c r="D258" s="252"/>
      <c r="E258" s="238"/>
      <c r="F258" s="238"/>
      <c r="G258" s="238"/>
      <c r="H258" s="238"/>
      <c r="I258" s="242"/>
      <c r="J258" s="292"/>
    </row>
    <row r="259" spans="1:10">
      <c r="A259" s="217"/>
      <c r="B259" s="286"/>
      <c r="C259" s="252"/>
      <c r="D259" s="264"/>
      <c r="E259" s="242"/>
      <c r="F259" s="242"/>
      <c r="G259" s="242"/>
      <c r="H259" s="242"/>
      <c r="I259" s="242"/>
      <c r="J259" s="246"/>
    </row>
    <row r="260" spans="1:10">
      <c r="A260" s="217"/>
      <c r="D260" s="264"/>
      <c r="E260" s="242"/>
      <c r="F260" s="242"/>
      <c r="G260" s="242"/>
      <c r="H260" s="242"/>
      <c r="I260" s="234"/>
      <c r="J260" s="246"/>
    </row>
    <row r="261" spans="1:10" ht="14">
      <c r="A261" s="217"/>
      <c r="B261" s="291"/>
      <c r="C261" s="234"/>
      <c r="D261" s="234"/>
      <c r="E261" s="234"/>
      <c r="F261" s="252"/>
      <c r="G261" s="252"/>
      <c r="H261" s="252"/>
      <c r="I261" s="252"/>
    </row>
    <row r="262" spans="1:10">
      <c r="A262" s="217"/>
      <c r="B262" s="234"/>
      <c r="C262" s="292"/>
      <c r="D262" s="238"/>
      <c r="F262" s="290"/>
      <c r="G262" s="273"/>
      <c r="H262" s="261"/>
    </row>
    <row r="263" spans="1:10">
      <c r="A263" s="217"/>
      <c r="B263" s="252"/>
      <c r="C263" s="293"/>
      <c r="D263" s="286"/>
      <c r="F263" s="273"/>
      <c r="G263" s="273"/>
      <c r="H263" s="273"/>
      <c r="I263" s="273"/>
    </row>
    <row r="264" spans="1:10">
      <c r="A264" s="217"/>
      <c r="B264" s="252"/>
      <c r="C264" s="293"/>
      <c r="D264" s="286"/>
      <c r="H264" s="273"/>
      <c r="I264" s="273"/>
    </row>
    <row r="265" spans="1:10">
      <c r="A265" s="217"/>
      <c r="B265" s="252"/>
      <c r="C265" s="293"/>
      <c r="D265" s="286"/>
      <c r="H265" s="273"/>
      <c r="I265" s="273"/>
    </row>
    <row r="266" spans="1:10">
      <c r="A266" s="217"/>
      <c r="B266" s="234"/>
      <c r="C266" s="292"/>
      <c r="D266" s="238"/>
      <c r="E266" s="234"/>
    </row>
    <row r="267" spans="1:10">
      <c r="A267" s="217"/>
      <c r="B267" s="284"/>
      <c r="C267" s="290"/>
      <c r="D267" s="261"/>
    </row>
    <row r="268" spans="1:10">
      <c r="A268" s="217"/>
      <c r="B268" s="234"/>
    </row>
    <row r="269" spans="1:10">
      <c r="A269" s="217"/>
      <c r="B269" s="284"/>
      <c r="C269" s="252"/>
      <c r="D269" s="286"/>
    </row>
    <row r="270" spans="1:10">
      <c r="A270" s="217"/>
      <c r="B270" s="294"/>
      <c r="C270" s="234"/>
      <c r="D270" s="295"/>
      <c r="E270" s="234"/>
      <c r="F270" s="284"/>
      <c r="I270" s="296"/>
    </row>
    <row r="271" spans="1:10">
      <c r="A271" s="217"/>
      <c r="B271" s="252"/>
      <c r="C271" s="284"/>
      <c r="D271" s="252"/>
      <c r="E271" s="284"/>
      <c r="H271" s="252"/>
      <c r="I271" s="284"/>
    </row>
    <row r="272" spans="1:10">
      <c r="A272" s="217"/>
      <c r="B272" s="252"/>
      <c r="C272" s="284"/>
      <c r="D272" s="252"/>
      <c r="E272" s="284"/>
      <c r="H272" s="252"/>
      <c r="I272" s="284"/>
    </row>
    <row r="273" spans="1:10">
      <c r="A273" s="217"/>
      <c r="B273" s="252"/>
      <c r="C273" s="284"/>
      <c r="D273" s="252"/>
      <c r="E273" s="284"/>
      <c r="H273" s="252"/>
      <c r="I273" s="284"/>
    </row>
    <row r="274" spans="1:10">
      <c r="A274" s="217"/>
      <c r="B274" s="252"/>
      <c r="C274" s="284"/>
      <c r="D274" s="252"/>
      <c r="E274" s="284"/>
      <c r="H274" s="252"/>
      <c r="I274" s="284"/>
      <c r="J274" s="261"/>
    </row>
    <row r="275" spans="1:10">
      <c r="A275" s="217"/>
      <c r="D275" s="252"/>
      <c r="E275" s="238"/>
      <c r="F275" s="238"/>
      <c r="G275" s="238"/>
      <c r="H275" s="238"/>
      <c r="I275" s="246"/>
    </row>
    <row r="276" spans="1:10">
      <c r="A276" s="217"/>
      <c r="D276" s="252"/>
      <c r="E276" s="238"/>
      <c r="F276" s="238"/>
      <c r="G276" s="238"/>
      <c r="H276" s="238"/>
      <c r="I276" s="246"/>
    </row>
    <row r="277" spans="1:10">
      <c r="A277" s="217"/>
      <c r="D277" s="252"/>
      <c r="E277" s="238"/>
      <c r="F277" s="238"/>
      <c r="G277" s="238"/>
      <c r="H277" s="238"/>
      <c r="I277" s="246"/>
    </row>
    <row r="278" spans="1:10">
      <c r="A278" s="217"/>
      <c r="D278" s="252"/>
      <c r="E278" s="238"/>
      <c r="F278" s="238"/>
      <c r="G278" s="238"/>
      <c r="H278" s="238"/>
      <c r="I278" s="246"/>
    </row>
    <row r="279" spans="1:10">
      <c r="D279" s="252"/>
      <c r="E279" s="238"/>
      <c r="F279" s="238"/>
      <c r="G279" s="238"/>
      <c r="H279" s="238"/>
      <c r="I279" s="246"/>
    </row>
    <row r="280" spans="1:10">
      <c r="D280" s="252"/>
      <c r="E280" s="238"/>
      <c r="F280" s="238"/>
      <c r="G280" s="238"/>
      <c r="H280" s="238"/>
      <c r="I280" s="246"/>
    </row>
    <row r="281" spans="1:10">
      <c r="D281" s="252"/>
      <c r="E281" s="238"/>
      <c r="F281" s="238"/>
      <c r="G281" s="238"/>
      <c r="H281" s="238"/>
      <c r="I281" s="246"/>
    </row>
    <row r="282" spans="1:10">
      <c r="D282" s="252"/>
      <c r="E282" s="238"/>
      <c r="F282" s="238"/>
      <c r="G282" s="238"/>
      <c r="H282" s="238"/>
      <c r="I282" s="246"/>
    </row>
    <row r="283" spans="1:10">
      <c r="E283" s="234"/>
      <c r="F283" s="234"/>
      <c r="G283" s="234"/>
      <c r="H283" s="234"/>
    </row>
    <row r="284" spans="1:10" ht="14">
      <c r="A284" s="275"/>
      <c r="B284" s="128"/>
      <c r="C284" s="128"/>
      <c r="D284" s="252"/>
      <c r="E284" s="261"/>
      <c r="F284" s="252"/>
      <c r="G284" s="261"/>
    </row>
    <row r="285" spans="1:10">
      <c r="D285" s="252"/>
      <c r="E285" s="261"/>
      <c r="F285" s="252"/>
      <c r="G285" s="261"/>
    </row>
    <row r="286" spans="1:10">
      <c r="D286" s="252"/>
      <c r="E286" s="261"/>
      <c r="F286" s="252"/>
      <c r="G286" s="261"/>
    </row>
    <row r="287" spans="1:10">
      <c r="D287" s="252"/>
      <c r="E287" s="261"/>
      <c r="F287" s="252"/>
      <c r="G287" s="261"/>
    </row>
    <row r="288" spans="1:10">
      <c r="D288" s="123"/>
      <c r="E288" s="290"/>
      <c r="F288" s="252"/>
      <c r="G288" s="283"/>
    </row>
    <row r="289" spans="1:10">
      <c r="B289" s="123"/>
      <c r="C289" s="267"/>
      <c r="D289" s="285"/>
      <c r="E289" s="242"/>
      <c r="F289" s="242"/>
      <c r="G289" s="242"/>
      <c r="H289" s="242"/>
    </row>
    <row r="290" spans="1:10">
      <c r="B290" s="123"/>
      <c r="C290" s="267"/>
      <c r="E290" s="267"/>
      <c r="F290" s="267"/>
      <c r="G290" s="267"/>
      <c r="H290" s="267"/>
    </row>
    <row r="291" spans="1:10">
      <c r="C291" s="267"/>
      <c r="D291" s="267"/>
      <c r="E291" s="234"/>
      <c r="F291" s="234"/>
      <c r="G291" s="234"/>
      <c r="H291" s="234"/>
    </row>
    <row r="292" spans="1:10">
      <c r="B292" s="252"/>
      <c r="C292" s="284"/>
      <c r="D292" s="267"/>
      <c r="E292" s="238"/>
      <c r="F292" s="238"/>
      <c r="G292" s="238"/>
      <c r="H292" s="238"/>
      <c r="I292" s="234"/>
      <c r="J292" s="234"/>
    </row>
    <row r="293" spans="1:10">
      <c r="B293" s="286"/>
      <c r="C293" s="252"/>
      <c r="D293" s="238"/>
      <c r="E293" s="238"/>
      <c r="F293" s="238"/>
      <c r="G293" s="238"/>
      <c r="H293" s="238"/>
      <c r="I293" s="238"/>
      <c r="J293" s="234"/>
    </row>
    <row r="294" spans="1:10">
      <c r="B294" s="286"/>
      <c r="C294" s="252"/>
      <c r="D294" s="238"/>
      <c r="E294" s="238"/>
      <c r="F294" s="238"/>
      <c r="G294" s="238"/>
      <c r="H294" s="238"/>
      <c r="I294" s="238"/>
      <c r="J294" s="234"/>
    </row>
    <row r="295" spans="1:10">
      <c r="A295" s="217"/>
      <c r="B295" s="286"/>
      <c r="C295" s="252"/>
      <c r="D295" s="238"/>
      <c r="E295" s="238"/>
      <c r="F295" s="238"/>
      <c r="G295" s="238"/>
      <c r="H295" s="238"/>
      <c r="I295" s="238"/>
      <c r="J295" s="234"/>
    </row>
    <row r="296" spans="1:10">
      <c r="A296" s="217"/>
      <c r="B296" s="286"/>
      <c r="C296" s="252"/>
      <c r="D296" s="238"/>
      <c r="E296" s="238"/>
      <c r="F296" s="238"/>
      <c r="G296" s="238"/>
      <c r="H296" s="238"/>
      <c r="I296" s="238"/>
      <c r="J296" s="234"/>
    </row>
    <row r="297" spans="1:10">
      <c r="A297" s="217"/>
      <c r="B297" s="286"/>
      <c r="C297" s="252"/>
      <c r="D297" s="285"/>
      <c r="E297" s="238"/>
      <c r="F297" s="238"/>
      <c r="G297" s="238"/>
      <c r="H297" s="238"/>
      <c r="I297" s="238"/>
      <c r="J297" s="246"/>
    </row>
    <row r="298" spans="1:10">
      <c r="A298" s="217"/>
      <c r="D298" s="285"/>
      <c r="E298" s="292"/>
      <c r="F298" s="292"/>
      <c r="G298" s="292"/>
      <c r="H298" s="292"/>
      <c r="I298" s="234"/>
      <c r="J298" s="246"/>
    </row>
    <row r="299" spans="1:10" ht="14">
      <c r="A299" s="217"/>
      <c r="B299" s="291"/>
      <c r="C299" s="234"/>
      <c r="D299" s="234"/>
      <c r="E299" s="234"/>
      <c r="F299" s="252"/>
      <c r="G299" s="252"/>
    </row>
    <row r="300" spans="1:10">
      <c r="A300" s="217"/>
      <c r="B300" s="234"/>
      <c r="C300" s="234"/>
      <c r="D300" s="238"/>
      <c r="F300" s="261"/>
    </row>
    <row r="301" spans="1:10">
      <c r="A301" s="217"/>
      <c r="B301" s="252"/>
      <c r="D301" s="286"/>
      <c r="F301" s="255"/>
      <c r="G301" s="255"/>
    </row>
    <row r="302" spans="1:10">
      <c r="A302" s="217"/>
      <c r="B302" s="252"/>
      <c r="D302" s="286"/>
    </row>
    <row r="303" spans="1:10">
      <c r="A303" s="217"/>
      <c r="B303" s="252"/>
      <c r="D303" s="286"/>
    </row>
    <row r="305" spans="1:10">
      <c r="A305" s="217"/>
      <c r="B305" s="284"/>
      <c r="C305" s="252"/>
      <c r="D305" s="286"/>
    </row>
    <row r="306" spans="1:10">
      <c r="A306" s="217"/>
      <c r="B306" s="284"/>
      <c r="C306" s="234"/>
      <c r="D306" s="238"/>
    </row>
    <row r="307" spans="1:10">
      <c r="A307" s="217"/>
      <c r="B307" s="252"/>
      <c r="C307" s="284"/>
      <c r="D307" s="238"/>
    </row>
    <row r="308" spans="1:10">
      <c r="A308" s="217"/>
      <c r="B308" s="252"/>
      <c r="C308" s="284"/>
      <c r="D308" s="261"/>
      <c r="E308" s="246"/>
    </row>
    <row r="309" spans="1:10">
      <c r="A309" s="217"/>
      <c r="B309" s="252"/>
      <c r="C309" s="284"/>
    </row>
    <row r="310" spans="1:10">
      <c r="A310" s="217"/>
      <c r="B310" s="252"/>
      <c r="C310" s="284"/>
      <c r="D310" s="123"/>
      <c r="E310" s="290"/>
      <c r="F310" s="133"/>
      <c r="G310" s="252"/>
      <c r="H310" s="261"/>
      <c r="I310" s="234"/>
    </row>
    <row r="311" spans="1:10">
      <c r="A311" s="217"/>
      <c r="B311" s="261"/>
      <c r="C311" s="261"/>
      <c r="D311" s="252"/>
      <c r="E311" s="252"/>
      <c r="F311" s="252"/>
      <c r="G311" s="252"/>
      <c r="H311" s="262"/>
      <c r="I311" s="234"/>
    </row>
    <row r="312" spans="1:10">
      <c r="A312" s="217"/>
      <c r="B312" s="284"/>
      <c r="C312" s="234"/>
      <c r="D312" s="238"/>
      <c r="E312" s="242"/>
      <c r="F312" s="242"/>
      <c r="G312" s="242"/>
      <c r="H312" s="234"/>
      <c r="I312" s="234"/>
    </row>
    <row r="313" spans="1:10">
      <c r="A313" s="217"/>
      <c r="B313" s="252"/>
      <c r="C313" s="284"/>
      <c r="D313" s="286"/>
      <c r="E313" s="264"/>
      <c r="F313" s="264"/>
      <c r="G313" s="264"/>
      <c r="H313" s="252"/>
      <c r="I313" s="252"/>
    </row>
    <row r="314" spans="1:10">
      <c r="A314" s="217"/>
      <c r="B314" s="252"/>
      <c r="C314" s="284"/>
      <c r="D314" s="286"/>
      <c r="E314" s="264"/>
      <c r="F314" s="264"/>
      <c r="G314" s="264"/>
      <c r="H314" s="252"/>
      <c r="I314" s="252"/>
    </row>
    <row r="315" spans="1:10">
      <c r="A315" s="217"/>
      <c r="B315" s="252"/>
      <c r="C315" s="284"/>
      <c r="D315" s="286"/>
      <c r="E315" s="264"/>
      <c r="F315" s="264"/>
      <c r="G315" s="264"/>
      <c r="H315" s="252"/>
      <c r="I315" s="252"/>
    </row>
    <row r="316" spans="1:10">
      <c r="A316" s="217"/>
      <c r="B316" s="252"/>
      <c r="C316" s="284"/>
      <c r="D316" s="238"/>
      <c r="E316" s="242"/>
      <c r="F316" s="242"/>
      <c r="G316" s="264"/>
      <c r="H316" s="262"/>
    </row>
    <row r="317" spans="1:10">
      <c r="A317" s="217"/>
      <c r="B317" s="261"/>
      <c r="C317" s="261"/>
      <c r="D317" s="261"/>
      <c r="E317" s="267"/>
      <c r="F317" s="267"/>
      <c r="G317" s="267"/>
      <c r="H317" s="261"/>
    </row>
    <row r="318" spans="1:10">
      <c r="A318" s="217"/>
      <c r="B318" s="252"/>
      <c r="C318" s="252"/>
      <c r="D318" s="252"/>
      <c r="E318" s="234"/>
      <c r="F318" s="234"/>
      <c r="G318" s="234"/>
      <c r="H318" s="234"/>
    </row>
    <row r="319" spans="1:10">
      <c r="A319" s="217"/>
      <c r="B319" s="252"/>
      <c r="C319" s="252"/>
      <c r="D319" s="252"/>
      <c r="E319" s="238"/>
      <c r="F319" s="238"/>
      <c r="G319" s="238"/>
      <c r="H319" s="238"/>
      <c r="I319" s="234"/>
      <c r="J319" s="252"/>
    </row>
    <row r="320" spans="1:10">
      <c r="A320" s="217"/>
      <c r="B320" s="252"/>
      <c r="C320" s="252"/>
      <c r="D320" s="234"/>
      <c r="E320" s="234"/>
      <c r="F320" s="234"/>
      <c r="G320" s="234"/>
      <c r="H320" s="234"/>
      <c r="I320" s="238"/>
      <c r="J320" s="293"/>
    </row>
    <row r="321" spans="1:10">
      <c r="A321" s="217"/>
      <c r="B321" s="252"/>
      <c r="C321" s="252"/>
      <c r="D321" s="234"/>
      <c r="E321" s="234"/>
      <c r="F321" s="234"/>
      <c r="G321" s="234"/>
      <c r="H321" s="234"/>
      <c r="I321" s="238"/>
      <c r="J321" s="293"/>
    </row>
    <row r="322" spans="1:10">
      <c r="A322" s="217"/>
      <c r="B322" s="252"/>
      <c r="C322" s="252"/>
      <c r="D322" s="234"/>
      <c r="E322" s="234"/>
      <c r="F322" s="234"/>
      <c r="G322" s="234"/>
      <c r="H322" s="234"/>
      <c r="I322" s="238"/>
      <c r="J322" s="293"/>
    </row>
    <row r="323" spans="1:10">
      <c r="A323" s="217"/>
      <c r="B323" s="252"/>
      <c r="C323" s="252"/>
      <c r="D323" s="234"/>
      <c r="E323" s="234"/>
      <c r="F323" s="234"/>
      <c r="G323" s="234"/>
      <c r="H323" s="234"/>
      <c r="I323" s="238"/>
      <c r="J323" s="293"/>
    </row>
    <row r="324" spans="1:10">
      <c r="A324" s="217"/>
      <c r="B324" s="252"/>
      <c r="C324" s="252"/>
      <c r="D324" s="234"/>
      <c r="E324" s="234"/>
      <c r="F324" s="234"/>
      <c r="G324" s="234"/>
      <c r="H324" s="234"/>
      <c r="I324" s="238"/>
      <c r="J324" s="293"/>
    </row>
    <row r="325" spans="1:10">
      <c r="A325" s="217"/>
      <c r="B325" s="252"/>
      <c r="C325" s="252"/>
      <c r="D325" s="234"/>
      <c r="E325" s="234"/>
      <c r="F325" s="234"/>
      <c r="G325" s="234"/>
      <c r="H325" s="234"/>
      <c r="I325" s="238"/>
      <c r="J325" s="293"/>
    </row>
    <row r="326" spans="1:10">
      <c r="A326" s="217"/>
      <c r="B326" s="252"/>
      <c r="C326" s="252"/>
      <c r="D326" s="234"/>
      <c r="E326" s="234"/>
      <c r="F326" s="234"/>
      <c r="G326" s="234"/>
      <c r="H326" s="234"/>
      <c r="I326" s="238"/>
      <c r="J326" s="293"/>
    </row>
    <row r="327" spans="1:10">
      <c r="A327" s="217"/>
      <c r="B327" s="252"/>
      <c r="C327" s="252"/>
      <c r="D327" s="234"/>
      <c r="E327" s="234"/>
      <c r="F327" s="234"/>
      <c r="G327" s="234"/>
      <c r="H327" s="234"/>
      <c r="I327" s="238"/>
      <c r="J327" s="293"/>
    </row>
    <row r="328" spans="1:10">
      <c r="A328" s="217"/>
      <c r="B328" s="286"/>
      <c r="C328" s="252"/>
      <c r="D328" s="285"/>
      <c r="E328" s="242"/>
      <c r="F328" s="242"/>
      <c r="G328" s="242"/>
      <c r="H328" s="242"/>
      <c r="I328" s="238"/>
      <c r="J328" s="246"/>
    </row>
    <row r="329" spans="1:10">
      <c r="A329" s="217"/>
      <c r="D329" s="285"/>
      <c r="E329" s="292"/>
      <c r="F329" s="292"/>
      <c r="G329" s="292"/>
      <c r="H329" s="292"/>
      <c r="I329" s="234"/>
      <c r="J329" s="246"/>
    </row>
    <row r="330" spans="1:10" ht="14">
      <c r="A330" s="217"/>
      <c r="B330" s="291"/>
      <c r="C330" s="234"/>
      <c r="D330" s="234"/>
      <c r="E330" s="234"/>
      <c r="F330" s="252"/>
      <c r="G330" s="252"/>
    </row>
    <row r="331" spans="1:10">
      <c r="A331" s="217"/>
      <c r="B331" s="234"/>
      <c r="C331" s="234"/>
      <c r="D331" s="238"/>
      <c r="F331" s="261"/>
    </row>
    <row r="332" spans="1:10">
      <c r="A332" s="217"/>
      <c r="B332" s="252"/>
      <c r="D332" s="286"/>
      <c r="F332" s="255"/>
      <c r="G332" s="255"/>
    </row>
    <row r="333" spans="1:10">
      <c r="A333" s="217"/>
      <c r="B333" s="252"/>
      <c r="D333" s="286"/>
    </row>
    <row r="334" spans="1:10">
      <c r="A334" s="217"/>
      <c r="B334" s="252"/>
      <c r="D334" s="286"/>
    </row>
    <row r="336" spans="1:10">
      <c r="A336" s="217"/>
      <c r="B336" s="284"/>
      <c r="C336" s="252"/>
      <c r="D336" s="286"/>
    </row>
    <row r="337" spans="1:9">
      <c r="A337" s="217"/>
      <c r="B337" s="284"/>
      <c r="C337" s="234"/>
      <c r="D337" s="238"/>
    </row>
    <row r="338" spans="1:9">
      <c r="A338" s="217"/>
      <c r="B338" s="252"/>
      <c r="C338" s="284"/>
      <c r="D338" s="238"/>
    </row>
    <row r="339" spans="1:9">
      <c r="A339" s="217"/>
      <c r="B339" s="252"/>
      <c r="C339" s="284"/>
      <c r="D339" s="261"/>
      <c r="E339" s="246"/>
    </row>
    <row r="340" spans="1:9">
      <c r="A340" s="217"/>
      <c r="B340" s="252"/>
      <c r="C340" s="284"/>
    </row>
    <row r="341" spans="1:9">
      <c r="A341" s="217"/>
      <c r="B341" s="252"/>
      <c r="C341" s="284"/>
      <c r="D341" s="123"/>
      <c r="E341" s="290"/>
      <c r="F341" s="133"/>
      <c r="G341" s="252"/>
      <c r="H341" s="261"/>
      <c r="I341" s="234"/>
    </row>
    <row r="342" spans="1:9">
      <c r="A342" s="217"/>
      <c r="B342" s="261"/>
      <c r="C342" s="261"/>
      <c r="D342" s="252"/>
      <c r="E342" s="252"/>
      <c r="F342" s="252"/>
      <c r="G342" s="252"/>
      <c r="H342" s="262"/>
      <c r="I342" s="234"/>
    </row>
    <row r="343" spans="1:9">
      <c r="A343" s="217"/>
      <c r="B343" s="284"/>
      <c r="C343" s="234"/>
      <c r="D343" s="238"/>
      <c r="E343" s="242"/>
      <c r="F343" s="242"/>
      <c r="G343" s="242"/>
      <c r="H343" s="234"/>
      <c r="I343" s="234"/>
    </row>
    <row r="344" spans="1:9">
      <c r="A344" s="217"/>
      <c r="B344" s="252"/>
      <c r="C344" s="284"/>
      <c r="D344" s="286"/>
      <c r="E344" s="264"/>
      <c r="F344" s="264"/>
      <c r="G344" s="264"/>
      <c r="H344" s="252"/>
      <c r="I344" s="252"/>
    </row>
    <row r="345" spans="1:9">
      <c r="A345" s="217"/>
      <c r="B345" s="252"/>
      <c r="C345" s="284"/>
      <c r="D345" s="286"/>
      <c r="E345" s="264"/>
      <c r="F345" s="264"/>
      <c r="G345" s="264"/>
      <c r="H345" s="252"/>
      <c r="I345" s="252"/>
    </row>
    <row r="346" spans="1:9">
      <c r="A346" s="217"/>
      <c r="B346" s="252"/>
      <c r="C346" s="284"/>
      <c r="D346" s="286"/>
      <c r="E346" s="264"/>
      <c r="F346" s="264"/>
      <c r="G346" s="264"/>
      <c r="H346" s="252"/>
      <c r="I346" s="252"/>
    </row>
    <row r="347" spans="1:9">
      <c r="A347" s="217"/>
      <c r="B347" s="252"/>
      <c r="C347" s="284"/>
      <c r="D347" s="238"/>
      <c r="E347" s="242"/>
      <c r="F347" s="242"/>
      <c r="G347" s="264"/>
      <c r="H347" s="262"/>
    </row>
    <row r="348" spans="1:9">
      <c r="A348" s="217"/>
      <c r="B348" s="261"/>
      <c r="C348" s="261"/>
      <c r="D348" s="261"/>
      <c r="E348" s="267"/>
      <c r="F348" s="267"/>
      <c r="G348" s="267"/>
      <c r="H348" s="261"/>
    </row>
    <row r="349" spans="1:9">
      <c r="A349" s="217"/>
      <c r="B349" s="252"/>
      <c r="C349" s="252"/>
      <c r="D349" s="284"/>
      <c r="F349" s="252"/>
      <c r="G349" s="284"/>
    </row>
    <row r="350" spans="1:9">
      <c r="A350" s="217"/>
      <c r="B350" s="252"/>
      <c r="C350" s="252"/>
      <c r="D350" s="284"/>
      <c r="F350" s="252"/>
      <c r="G350" s="284"/>
    </row>
    <row r="351" spans="1:9">
      <c r="A351" s="217"/>
      <c r="B351" s="252"/>
      <c r="C351" s="252"/>
      <c r="D351" s="284"/>
      <c r="F351" s="252"/>
      <c r="G351" s="284"/>
    </row>
    <row r="353" spans="1:9">
      <c r="A353" s="217"/>
      <c r="B353" s="284"/>
      <c r="C353" s="284"/>
      <c r="F353" s="284"/>
    </row>
    <row r="354" spans="1:9">
      <c r="A354" s="217"/>
      <c r="B354" s="252"/>
      <c r="C354" s="252"/>
      <c r="D354" s="284"/>
      <c r="F354" s="252"/>
      <c r="G354" s="284"/>
    </row>
    <row r="355" spans="1:9">
      <c r="A355" s="217"/>
      <c r="B355" s="252"/>
      <c r="C355" s="252"/>
      <c r="D355" s="284"/>
      <c r="F355" s="252"/>
      <c r="G355" s="284"/>
    </row>
    <row r="356" spans="1:9">
      <c r="A356" s="217"/>
      <c r="B356" s="252"/>
      <c r="C356" s="252"/>
      <c r="D356" s="284"/>
      <c r="F356" s="252"/>
      <c r="G356" s="284"/>
    </row>
    <row r="358" spans="1:9">
      <c r="A358" s="217"/>
      <c r="B358" s="297"/>
      <c r="C358" s="297"/>
      <c r="D358" s="297"/>
      <c r="E358" s="297"/>
      <c r="F358" s="297"/>
      <c r="G358" s="297"/>
      <c r="H358" s="297"/>
      <c r="I358" s="297"/>
    </row>
    <row r="360" spans="1:9">
      <c r="B360" s="123"/>
      <c r="C360" s="123"/>
      <c r="D360" s="284"/>
    </row>
    <row r="361" spans="1:9">
      <c r="B361" s="252"/>
      <c r="C361" s="252"/>
      <c r="D361" s="252"/>
      <c r="E361" s="252"/>
      <c r="F361" s="252"/>
      <c r="G361" s="252"/>
      <c r="H361" s="252"/>
    </row>
    <row r="362" spans="1:9">
      <c r="B362" s="252"/>
      <c r="C362" s="252"/>
      <c r="D362" s="262"/>
      <c r="E362" s="252"/>
      <c r="F362" s="252"/>
      <c r="G362" s="252"/>
      <c r="H362" s="234"/>
    </row>
    <row r="363" spans="1:9">
      <c r="B363" s="252"/>
      <c r="C363" s="252"/>
      <c r="D363" s="262"/>
      <c r="E363" s="252"/>
      <c r="F363" s="252"/>
      <c r="G363" s="252"/>
      <c r="H363" s="252"/>
    </row>
    <row r="366" spans="1:9" ht="14">
      <c r="A366" s="275"/>
      <c r="B366" s="128"/>
      <c r="C366" s="128"/>
      <c r="D366" s="252"/>
      <c r="E366" s="261"/>
      <c r="F366" s="252"/>
      <c r="G366" s="261"/>
    </row>
    <row r="367" spans="1:9">
      <c r="D367" s="252"/>
      <c r="E367" s="261"/>
      <c r="F367" s="252"/>
      <c r="G367" s="261"/>
    </row>
    <row r="368" spans="1:9">
      <c r="D368" s="252"/>
      <c r="E368" s="261"/>
      <c r="F368" s="252"/>
      <c r="G368" s="261"/>
    </row>
    <row r="369" spans="1:11">
      <c r="B369" s="252"/>
      <c r="C369" s="252"/>
      <c r="D369" s="261"/>
      <c r="E369" s="123"/>
      <c r="F369" s="267"/>
    </row>
    <row r="370" spans="1:11">
      <c r="B370" s="252"/>
      <c r="C370" s="252"/>
      <c r="D370" s="261"/>
      <c r="E370" s="234"/>
      <c r="F370" s="234"/>
      <c r="G370" s="234"/>
    </row>
    <row r="371" spans="1:11">
      <c r="B371" s="252"/>
      <c r="C371" s="252"/>
      <c r="D371" s="287"/>
      <c r="E371" s="238"/>
      <c r="F371" s="238"/>
      <c r="G371" s="238"/>
    </row>
    <row r="372" spans="1:11">
      <c r="B372" s="252"/>
      <c r="C372" s="252"/>
      <c r="D372" s="261"/>
      <c r="E372" s="238"/>
      <c r="F372" s="238"/>
      <c r="G372" s="238"/>
    </row>
    <row r="373" spans="1:11">
      <c r="E373" s="238"/>
      <c r="F373" s="238"/>
      <c r="G373" s="238"/>
    </row>
    <row r="374" spans="1:11" ht="14">
      <c r="D374" s="128"/>
      <c r="E374" s="234"/>
      <c r="F374" s="234"/>
      <c r="G374" s="234"/>
      <c r="H374" s="234"/>
    </row>
    <row r="375" spans="1:11">
      <c r="A375" s="217"/>
      <c r="B375" s="252"/>
      <c r="C375" s="252"/>
      <c r="D375" s="252"/>
      <c r="E375" s="238"/>
      <c r="F375" s="238"/>
      <c r="G375" s="238"/>
      <c r="H375" s="234"/>
    </row>
    <row r="376" spans="1:11">
      <c r="A376" s="217"/>
      <c r="B376" s="252"/>
      <c r="C376" s="252"/>
      <c r="D376" s="252"/>
      <c r="E376" s="238"/>
      <c r="F376" s="238"/>
      <c r="G376" s="238"/>
      <c r="H376" s="234"/>
    </row>
    <row r="377" spans="1:11">
      <c r="A377" s="217"/>
      <c r="B377" s="252"/>
      <c r="C377" s="252"/>
      <c r="D377" s="252"/>
      <c r="E377" s="238"/>
      <c r="F377" s="238"/>
      <c r="G377" s="238"/>
      <c r="H377" s="234"/>
    </row>
    <row r="378" spans="1:11">
      <c r="A378" s="217"/>
      <c r="B378" s="252"/>
      <c r="C378" s="252"/>
      <c r="D378" s="252"/>
      <c r="E378" s="238"/>
      <c r="F378" s="238"/>
      <c r="G378" s="238"/>
      <c r="H378" s="234"/>
      <c r="I378" s="238"/>
      <c r="J378" s="238"/>
      <c r="K378" s="238"/>
    </row>
    <row r="379" spans="1:11">
      <c r="A379" s="217"/>
      <c r="B379" s="252"/>
      <c r="C379" s="252"/>
      <c r="D379" s="252"/>
      <c r="E379" s="238"/>
      <c r="F379" s="238"/>
      <c r="G379" s="238"/>
      <c r="H379" s="234"/>
      <c r="I379" s="286"/>
      <c r="J379" s="286"/>
      <c r="K379" s="286"/>
    </row>
    <row r="380" spans="1:11">
      <c r="A380" s="217"/>
      <c r="B380" s="252"/>
      <c r="C380" s="252"/>
      <c r="D380" s="252"/>
      <c r="E380" s="238"/>
      <c r="F380" s="238"/>
      <c r="G380" s="238"/>
      <c r="H380" s="234"/>
    </row>
    <row r="381" spans="1:11">
      <c r="A381" s="217"/>
      <c r="B381" s="252"/>
      <c r="C381" s="252"/>
      <c r="D381" s="252"/>
      <c r="E381" s="238"/>
      <c r="F381" s="238"/>
      <c r="G381" s="238"/>
      <c r="H381" s="234"/>
      <c r="I381" s="286"/>
      <c r="J381" s="286"/>
      <c r="K381" s="286"/>
    </row>
    <row r="382" spans="1:11">
      <c r="A382" s="217"/>
      <c r="B382" s="252"/>
      <c r="C382" s="252"/>
      <c r="D382" s="252"/>
      <c r="E382" s="238"/>
      <c r="F382" s="238"/>
      <c r="G382" s="238"/>
      <c r="H382" s="234"/>
      <c r="I382" s="286"/>
      <c r="J382" s="286"/>
      <c r="K382" s="286"/>
    </row>
    <row r="383" spans="1:11">
      <c r="A383" s="217"/>
      <c r="B383" s="252"/>
      <c r="C383" s="252"/>
      <c r="D383" s="252"/>
      <c r="E383" s="238"/>
      <c r="F383" s="238"/>
      <c r="G383" s="238"/>
      <c r="H383" s="234"/>
      <c r="I383" s="286"/>
      <c r="J383" s="286"/>
      <c r="K383" s="286"/>
    </row>
    <row r="384" spans="1:11">
      <c r="A384" s="217"/>
      <c r="B384" s="252"/>
      <c r="C384" s="252"/>
      <c r="D384" s="252"/>
      <c r="E384" s="238"/>
      <c r="F384" s="238"/>
      <c r="G384" s="238"/>
      <c r="H384" s="234"/>
      <c r="I384" s="286"/>
      <c r="J384" s="286"/>
      <c r="K384" s="286"/>
    </row>
    <row r="385" spans="1:9">
      <c r="A385" s="217"/>
      <c r="B385" s="252"/>
      <c r="C385" s="252"/>
      <c r="D385" s="252"/>
      <c r="E385" s="238"/>
      <c r="F385" s="238"/>
      <c r="G385" s="238"/>
      <c r="H385" s="234"/>
    </row>
    <row r="386" spans="1:9">
      <c r="A386" s="217"/>
      <c r="B386" s="252"/>
      <c r="C386" s="252"/>
      <c r="D386" s="252"/>
      <c r="E386" s="238"/>
      <c r="F386" s="238"/>
      <c r="G386" s="238"/>
      <c r="H386" s="234"/>
    </row>
    <row r="387" spans="1:9">
      <c r="A387" s="217"/>
      <c r="B387" s="252"/>
      <c r="C387" s="252"/>
      <c r="D387" s="252"/>
      <c r="E387" s="238"/>
      <c r="F387" s="238"/>
      <c r="G387" s="238"/>
      <c r="H387" s="234"/>
    </row>
    <row r="388" spans="1:9">
      <c r="A388" s="217"/>
      <c r="B388" s="252"/>
      <c r="C388" s="252"/>
      <c r="D388" s="252"/>
      <c r="E388" s="238"/>
      <c r="F388" s="238"/>
      <c r="G388" s="238"/>
      <c r="H388" s="234"/>
    </row>
    <row r="389" spans="1:9">
      <c r="A389" s="217"/>
      <c r="B389" s="252"/>
      <c r="C389" s="252"/>
      <c r="D389" s="252"/>
      <c r="E389" s="238"/>
      <c r="F389" s="238"/>
      <c r="G389" s="238"/>
      <c r="H389" s="234"/>
    </row>
    <row r="390" spans="1:9">
      <c r="A390" s="217"/>
      <c r="D390" s="252"/>
      <c r="E390" s="234"/>
      <c r="F390" s="234"/>
      <c r="G390" s="234"/>
      <c r="H390" s="234"/>
      <c r="I390" s="246"/>
    </row>
    <row r="391" spans="1:9">
      <c r="A391" s="217"/>
      <c r="E391" s="234"/>
      <c r="F391" s="234"/>
      <c r="G391" s="234"/>
      <c r="I391" s="246"/>
    </row>
    <row r="392" spans="1:9" ht="14">
      <c r="A392" s="217"/>
      <c r="D392" s="128"/>
      <c r="E392" s="234"/>
      <c r="F392" s="234"/>
      <c r="G392" s="234"/>
      <c r="H392" s="234"/>
      <c r="I392" s="246"/>
    </row>
    <row r="393" spans="1:9">
      <c r="A393" s="217"/>
      <c r="B393" s="252"/>
      <c r="C393" s="252"/>
      <c r="D393" s="252"/>
      <c r="E393" s="238"/>
      <c r="F393" s="238"/>
      <c r="G393" s="238"/>
      <c r="H393" s="238"/>
      <c r="I393" s="246"/>
    </row>
    <row r="394" spans="1:9">
      <c r="A394" s="217"/>
      <c r="B394" s="252"/>
      <c r="C394" s="252"/>
      <c r="D394" s="252"/>
      <c r="E394" s="238"/>
      <c r="F394" s="238"/>
      <c r="G394" s="238"/>
      <c r="H394" s="238"/>
      <c r="I394" s="246"/>
    </row>
    <row r="395" spans="1:9">
      <c r="A395" s="217"/>
      <c r="B395" s="252"/>
      <c r="C395" s="252"/>
      <c r="D395" s="252"/>
      <c r="E395" s="238"/>
      <c r="F395" s="238"/>
      <c r="G395" s="238"/>
      <c r="H395" s="238"/>
      <c r="I395" s="246"/>
    </row>
    <row r="396" spans="1:9">
      <c r="A396" s="217"/>
      <c r="D396" s="252"/>
      <c r="E396" s="238"/>
      <c r="F396" s="238"/>
      <c r="G396" s="238"/>
      <c r="H396" s="238"/>
      <c r="I396" s="246"/>
    </row>
    <row r="397" spans="1:9">
      <c r="A397" s="217"/>
      <c r="E397" s="234"/>
      <c r="F397" s="234"/>
      <c r="G397" s="234"/>
      <c r="H397" s="234"/>
    </row>
    <row r="398" spans="1:9">
      <c r="A398" s="217"/>
      <c r="E398" s="234"/>
      <c r="F398" s="234"/>
      <c r="G398" s="234"/>
      <c r="I398" s="246"/>
    </row>
    <row r="399" spans="1:9" ht="14">
      <c r="A399" s="217"/>
      <c r="D399" s="128"/>
      <c r="E399" s="234"/>
      <c r="F399" s="234"/>
      <c r="G399" s="234"/>
      <c r="H399" s="234"/>
      <c r="I399" s="246"/>
    </row>
    <row r="400" spans="1:9">
      <c r="A400" s="217"/>
      <c r="B400" s="252"/>
      <c r="C400" s="252"/>
      <c r="D400" s="252"/>
      <c r="E400" s="234"/>
      <c r="F400" s="234"/>
      <c r="G400" s="234"/>
      <c r="H400" s="234"/>
      <c r="I400" s="246"/>
    </row>
    <row r="401" spans="1:10">
      <c r="A401" s="217"/>
      <c r="B401" s="252"/>
      <c r="C401" s="252"/>
      <c r="D401" s="252"/>
      <c r="E401" s="234"/>
      <c r="F401" s="234"/>
      <c r="G401" s="234"/>
      <c r="H401" s="234"/>
      <c r="I401" s="246"/>
    </row>
    <row r="402" spans="1:10">
      <c r="A402" s="217"/>
      <c r="B402" s="252"/>
      <c r="C402" s="252"/>
      <c r="D402" s="252"/>
      <c r="E402" s="234"/>
      <c r="F402" s="234"/>
      <c r="G402" s="234"/>
      <c r="H402" s="234"/>
      <c r="I402" s="246"/>
    </row>
    <row r="403" spans="1:10">
      <c r="A403" s="217"/>
      <c r="D403" s="252"/>
      <c r="E403" s="234"/>
      <c r="F403" s="234"/>
      <c r="G403" s="234"/>
      <c r="H403" s="234"/>
      <c r="I403" s="246"/>
    </row>
    <row r="404" spans="1:10">
      <c r="A404" s="217"/>
      <c r="E404" s="234"/>
      <c r="F404" s="234"/>
      <c r="G404" s="234"/>
      <c r="H404" s="234"/>
    </row>
    <row r="405" spans="1:10">
      <c r="A405" s="217"/>
      <c r="E405" s="234"/>
      <c r="F405" s="234"/>
      <c r="G405" s="234"/>
      <c r="H405" s="246"/>
    </row>
    <row r="406" spans="1:10">
      <c r="A406" s="217"/>
      <c r="D406" s="252"/>
      <c r="E406" s="234"/>
      <c r="F406" s="234"/>
      <c r="G406" s="234"/>
      <c r="H406" s="246"/>
    </row>
    <row r="407" spans="1:10">
      <c r="A407" s="217"/>
      <c r="B407" s="252"/>
      <c r="C407" s="252"/>
      <c r="D407" s="252"/>
      <c r="E407" s="234"/>
      <c r="F407" s="234"/>
      <c r="G407" s="234"/>
      <c r="I407" s="298"/>
      <c r="J407" s="298"/>
    </row>
    <row r="408" spans="1:10">
      <c r="A408" s="217"/>
      <c r="B408" s="252"/>
      <c r="C408" s="252"/>
      <c r="D408" s="252"/>
      <c r="E408" s="234"/>
      <c r="F408" s="234"/>
      <c r="G408" s="234"/>
      <c r="I408" s="298"/>
      <c r="J408" s="298"/>
    </row>
    <row r="409" spans="1:10">
      <c r="A409" s="217"/>
      <c r="B409" s="252"/>
      <c r="C409" s="252"/>
      <c r="D409" s="252"/>
      <c r="E409" s="234"/>
      <c r="F409" s="234"/>
      <c r="G409" s="234"/>
      <c r="I409" s="298"/>
      <c r="J409" s="298"/>
    </row>
    <row r="410" spans="1:10">
      <c r="A410" s="217"/>
      <c r="E410" s="234"/>
      <c r="F410" s="234"/>
      <c r="G410" s="234"/>
      <c r="H410" s="234"/>
    </row>
    <row r="411" spans="1:10">
      <c r="A411" s="217"/>
      <c r="B411" s="252"/>
      <c r="C411" s="252"/>
      <c r="D411" s="284"/>
      <c r="E411" s="252"/>
      <c r="F411" s="261"/>
    </row>
    <row r="413" spans="1:10" ht="14">
      <c r="A413" s="217"/>
      <c r="B413" s="291"/>
      <c r="C413" s="291"/>
    </row>
    <row r="414" spans="1:10">
      <c r="A414" s="217"/>
      <c r="B414" s="234"/>
      <c r="C414" s="234"/>
      <c r="D414" s="234"/>
    </row>
    <row r="415" spans="1:10">
      <c r="A415" s="217"/>
      <c r="B415" s="252"/>
      <c r="C415" s="252"/>
    </row>
    <row r="416" spans="1:10">
      <c r="A416" s="217"/>
      <c r="B416" s="252"/>
      <c r="C416" s="252"/>
    </row>
    <row r="417" spans="1:9">
      <c r="A417" s="217"/>
      <c r="B417" s="252"/>
      <c r="C417" s="252"/>
    </row>
    <row r="418" spans="1:9">
      <c r="A418" s="217"/>
      <c r="B418" s="234"/>
      <c r="C418" s="234"/>
      <c r="D418" s="234"/>
    </row>
    <row r="419" spans="1:9">
      <c r="A419" s="217"/>
      <c r="B419" s="284"/>
      <c r="C419" s="284"/>
      <c r="D419" s="284"/>
      <c r="E419" s="246"/>
    </row>
    <row r="420" spans="1:9">
      <c r="A420" s="217"/>
      <c r="B420" s="284"/>
      <c r="C420" s="284"/>
      <c r="D420" s="284"/>
    </row>
    <row r="422" spans="1:9" ht="14">
      <c r="A422" s="217"/>
      <c r="B422" s="131"/>
      <c r="C422" s="131"/>
      <c r="D422" s="123"/>
      <c r="E422" s="290"/>
      <c r="F422" s="133"/>
      <c r="G422" s="252"/>
      <c r="H422" s="261"/>
    </row>
    <row r="423" spans="1:9">
      <c r="A423" s="217"/>
      <c r="B423" s="261"/>
      <c r="C423" s="261"/>
      <c r="D423" s="252"/>
      <c r="E423" s="252"/>
      <c r="F423" s="252"/>
      <c r="G423" s="252"/>
      <c r="H423" s="262"/>
      <c r="I423" s="234"/>
    </row>
    <row r="424" spans="1:9">
      <c r="A424" s="217"/>
      <c r="B424" s="238"/>
      <c r="C424" s="238"/>
      <c r="D424" s="238"/>
      <c r="E424" s="234"/>
      <c r="F424" s="234"/>
      <c r="G424" s="234"/>
      <c r="H424" s="234"/>
      <c r="I424" s="234"/>
    </row>
    <row r="425" spans="1:9">
      <c r="A425" s="217"/>
      <c r="B425" s="262"/>
      <c r="C425" s="262"/>
      <c r="D425" s="286"/>
      <c r="E425" s="252"/>
      <c r="F425" s="252"/>
      <c r="G425" s="252"/>
      <c r="H425" s="252"/>
      <c r="I425" s="234"/>
    </row>
    <row r="426" spans="1:9">
      <c r="A426" s="217"/>
      <c r="B426" s="262"/>
      <c r="C426" s="262"/>
      <c r="D426" s="286"/>
      <c r="E426" s="252"/>
      <c r="F426" s="252"/>
      <c r="G426" s="252"/>
      <c r="H426" s="252"/>
      <c r="I426" s="234"/>
    </row>
    <row r="427" spans="1:9">
      <c r="A427" s="217"/>
      <c r="B427" s="262"/>
      <c r="C427" s="262"/>
      <c r="D427" s="286"/>
      <c r="E427" s="252"/>
      <c r="F427" s="252"/>
      <c r="G427" s="252"/>
      <c r="H427" s="252"/>
      <c r="I427" s="234"/>
    </row>
    <row r="428" spans="1:9">
      <c r="A428" s="217"/>
      <c r="B428" s="238"/>
      <c r="C428" s="238"/>
      <c r="D428" s="238"/>
      <c r="E428" s="234"/>
      <c r="F428" s="234"/>
      <c r="G428" s="252"/>
      <c r="H428" s="262"/>
    </row>
    <row r="429" spans="1:9">
      <c r="A429" s="217"/>
      <c r="B429" s="261"/>
      <c r="C429" s="261"/>
      <c r="D429" s="261"/>
      <c r="E429" s="284"/>
      <c r="F429" s="284"/>
      <c r="G429" s="284"/>
      <c r="H429" s="261"/>
    </row>
    <row r="431" spans="1:9" ht="14">
      <c r="A431" s="217"/>
      <c r="B431" s="291"/>
      <c r="C431" s="291"/>
    </row>
    <row r="432" spans="1:9">
      <c r="A432" s="217"/>
      <c r="B432" s="252"/>
      <c r="C432" s="252"/>
      <c r="D432" s="283"/>
    </row>
    <row r="433" spans="1:9">
      <c r="A433" s="217"/>
      <c r="B433" s="252"/>
      <c r="C433" s="252"/>
      <c r="D433" s="283"/>
    </row>
    <row r="434" spans="1:9">
      <c r="A434" s="217"/>
      <c r="B434" s="284"/>
      <c r="C434" s="284"/>
      <c r="F434" s="284"/>
    </row>
    <row r="435" spans="1:9">
      <c r="A435" s="217"/>
      <c r="B435" s="252"/>
      <c r="C435" s="252"/>
      <c r="D435" s="284"/>
      <c r="F435" s="252"/>
      <c r="G435" s="284"/>
    </row>
    <row r="436" spans="1:9">
      <c r="A436" s="217"/>
      <c r="B436" s="252"/>
      <c r="C436" s="252"/>
      <c r="D436" s="284"/>
      <c r="F436" s="252"/>
      <c r="G436" s="284"/>
    </row>
    <row r="437" spans="1:9">
      <c r="A437" s="217"/>
      <c r="B437" s="252"/>
      <c r="C437" s="252"/>
      <c r="D437" s="284"/>
      <c r="F437" s="252"/>
      <c r="G437" s="284"/>
    </row>
    <row r="439" spans="1:9">
      <c r="A439" s="217"/>
      <c r="B439" s="284"/>
      <c r="C439" s="284"/>
      <c r="F439" s="284"/>
    </row>
    <row r="440" spans="1:9">
      <c r="A440" s="217"/>
      <c r="B440" s="252"/>
      <c r="C440" s="252"/>
      <c r="D440" s="284"/>
      <c r="F440" s="252"/>
      <c r="G440" s="284"/>
    </row>
    <row r="441" spans="1:9">
      <c r="A441" s="217"/>
      <c r="B441" s="252"/>
      <c r="C441" s="252"/>
      <c r="D441" s="284"/>
      <c r="F441" s="252"/>
      <c r="G441" s="284"/>
    </row>
    <row r="442" spans="1:9">
      <c r="A442" s="217"/>
      <c r="B442" s="252"/>
      <c r="C442" s="252"/>
      <c r="D442" s="284"/>
      <c r="F442" s="252"/>
      <c r="G442" s="284"/>
    </row>
    <row r="444" spans="1:9">
      <c r="A444" s="217"/>
      <c r="B444" s="299"/>
      <c r="C444" s="299"/>
      <c r="D444" s="299"/>
      <c r="E444" s="299"/>
      <c r="F444" s="299"/>
      <c r="G444" s="299"/>
      <c r="H444" s="300"/>
      <c r="I444" s="297"/>
    </row>
    <row r="446" spans="1:9" ht="14">
      <c r="A446" s="217"/>
      <c r="B446" s="131"/>
      <c r="C446" s="131"/>
      <c r="D446" s="123"/>
      <c r="E446" s="290"/>
      <c r="F446" s="133"/>
      <c r="G446" s="252"/>
      <c r="H446" s="261"/>
    </row>
    <row r="447" spans="1:9">
      <c r="A447" s="217"/>
      <c r="B447" s="261"/>
      <c r="C447" s="261"/>
      <c r="D447" s="252"/>
      <c r="E447" s="252"/>
      <c r="F447" s="252"/>
      <c r="G447" s="252"/>
      <c r="H447" s="262"/>
      <c r="I447" s="234"/>
    </row>
    <row r="448" spans="1:9">
      <c r="A448" s="217"/>
      <c r="B448" s="238"/>
      <c r="C448" s="238"/>
      <c r="D448" s="238"/>
      <c r="E448" s="234"/>
      <c r="F448" s="234"/>
      <c r="G448" s="234"/>
      <c r="H448" s="234"/>
      <c r="I448" s="234"/>
    </row>
    <row r="449" spans="1:9">
      <c r="A449" s="217"/>
      <c r="B449" s="262"/>
      <c r="C449" s="262"/>
      <c r="D449" s="286"/>
      <c r="E449" s="252"/>
      <c r="F449" s="252"/>
      <c r="G449" s="252"/>
      <c r="H449" s="252"/>
      <c r="I449" s="234"/>
    </row>
    <row r="450" spans="1:9">
      <c r="A450" s="217"/>
      <c r="B450" s="262"/>
      <c r="C450" s="262"/>
      <c r="D450" s="286"/>
      <c r="E450" s="252"/>
      <c r="F450" s="252"/>
      <c r="G450" s="252"/>
      <c r="H450" s="252"/>
      <c r="I450" s="234"/>
    </row>
    <row r="451" spans="1:9">
      <c r="A451" s="217"/>
      <c r="B451" s="262"/>
      <c r="C451" s="262"/>
      <c r="D451" s="286"/>
      <c r="E451" s="252"/>
      <c r="F451" s="252"/>
      <c r="G451" s="252"/>
      <c r="H451" s="252"/>
      <c r="I451" s="234"/>
    </row>
    <row r="452" spans="1:9">
      <c r="A452" s="217"/>
      <c r="B452" s="238"/>
      <c r="C452" s="238"/>
      <c r="D452" s="238"/>
      <c r="E452" s="234"/>
      <c r="F452" s="234"/>
      <c r="G452" s="252"/>
      <c r="H452" s="262"/>
    </row>
    <row r="453" spans="1:9">
      <c r="A453" s="217"/>
      <c r="B453" s="261"/>
      <c r="C453" s="261"/>
      <c r="D453" s="261"/>
      <c r="E453" s="284"/>
      <c r="F453" s="284"/>
      <c r="G453" s="284"/>
      <c r="H453" s="261"/>
    </row>
    <row r="454" spans="1:9">
      <c r="A454" s="217"/>
      <c r="B454" s="261"/>
      <c r="C454" s="261"/>
      <c r="D454" s="261"/>
      <c r="E454" s="284"/>
      <c r="F454" s="284"/>
      <c r="G454" s="284"/>
      <c r="H454" s="261"/>
    </row>
    <row r="456" spans="1:9" ht="14">
      <c r="A456" s="275"/>
      <c r="D456" s="234"/>
      <c r="E456" s="234"/>
      <c r="F456" s="234"/>
      <c r="G456" s="234"/>
    </row>
    <row r="457" spans="1:9" ht="14">
      <c r="A457" s="217"/>
      <c r="B457" s="128"/>
      <c r="C457" s="128"/>
      <c r="D457" s="252"/>
      <c r="E457" s="261"/>
      <c r="F457" s="252"/>
      <c r="G457" s="261"/>
    </row>
    <row r="458" spans="1:9">
      <c r="D458" s="252"/>
      <c r="E458" s="261"/>
      <c r="F458" s="252"/>
      <c r="G458" s="261"/>
    </row>
    <row r="459" spans="1:9">
      <c r="D459" s="252"/>
      <c r="E459" s="261"/>
      <c r="F459" s="252"/>
      <c r="G459" s="261"/>
    </row>
    <row r="460" spans="1:9">
      <c r="D460" s="252"/>
      <c r="E460" s="261"/>
      <c r="F460" s="252"/>
      <c r="G460" s="261"/>
    </row>
    <row r="461" spans="1:9">
      <c r="D461" s="234"/>
      <c r="E461" s="234"/>
      <c r="F461" s="234"/>
      <c r="G461" s="234"/>
    </row>
    <row r="462" spans="1:9" ht="14">
      <c r="A462" s="275"/>
      <c r="B462" s="128"/>
      <c r="C462" s="128"/>
      <c r="D462" s="252"/>
      <c r="E462" s="261"/>
      <c r="F462" s="252"/>
      <c r="G462" s="261"/>
    </row>
    <row r="463" spans="1:9">
      <c r="D463" s="252"/>
      <c r="E463" s="261"/>
      <c r="F463" s="252"/>
      <c r="G463" s="261"/>
    </row>
    <row r="464" spans="1:9">
      <c r="D464" s="252"/>
      <c r="E464" s="261"/>
      <c r="F464" s="252"/>
      <c r="G464" s="261"/>
    </row>
    <row r="465" spans="1:8">
      <c r="A465" s="217"/>
      <c r="B465" s="267"/>
      <c r="C465" s="267"/>
      <c r="D465" s="267"/>
      <c r="E465" s="80"/>
      <c r="F465" s="267"/>
      <c r="G465" s="267"/>
      <c r="H465" s="267"/>
    </row>
    <row r="466" spans="1:8">
      <c r="B466" s="267"/>
      <c r="C466" s="267"/>
      <c r="D466" s="287"/>
      <c r="E466" s="238"/>
      <c r="F466" s="238"/>
      <c r="G466" s="238"/>
      <c r="H466" s="267"/>
    </row>
    <row r="467" spans="1:8">
      <c r="B467" s="267"/>
      <c r="C467" s="267"/>
      <c r="D467" s="267"/>
      <c r="E467" s="238"/>
      <c r="F467" s="238"/>
      <c r="G467" s="238"/>
      <c r="H467" s="267"/>
    </row>
    <row r="468" spans="1:8">
      <c r="B468" s="252"/>
      <c r="C468" s="252"/>
      <c r="D468" s="261"/>
      <c r="E468" s="252"/>
      <c r="F468" s="261"/>
      <c r="H468" s="284"/>
    </row>
    <row r="469" spans="1:8">
      <c r="E469" s="234"/>
      <c r="F469" s="234"/>
      <c r="G469" s="234"/>
      <c r="H469" s="284"/>
    </row>
    <row r="470" spans="1:8" ht="14">
      <c r="D470" s="128"/>
      <c r="E470" s="234"/>
      <c r="F470" s="234"/>
      <c r="G470" s="234"/>
      <c r="H470" s="284"/>
    </row>
    <row r="471" spans="1:8">
      <c r="A471" s="217"/>
      <c r="B471" s="252"/>
      <c r="C471" s="252"/>
      <c r="D471" s="252"/>
      <c r="E471" s="238"/>
      <c r="F471" s="238"/>
      <c r="G471" s="238"/>
      <c r="H471" s="284"/>
    </row>
    <row r="472" spans="1:8">
      <c r="A472" s="217"/>
      <c r="B472" s="252"/>
      <c r="C472" s="252"/>
      <c r="D472" s="252"/>
      <c r="E472" s="238"/>
      <c r="F472" s="238"/>
      <c r="G472" s="238"/>
      <c r="H472" s="284"/>
    </row>
    <row r="473" spans="1:8">
      <c r="A473" s="217"/>
      <c r="B473" s="252"/>
      <c r="C473" s="252"/>
      <c r="D473" s="252"/>
      <c r="E473" s="238"/>
      <c r="F473" s="238"/>
      <c r="G473" s="238"/>
      <c r="H473" s="267"/>
    </row>
    <row r="474" spans="1:8">
      <c r="A474" s="217"/>
      <c r="B474" s="252"/>
      <c r="C474" s="252"/>
      <c r="D474" s="252"/>
      <c r="E474" s="238"/>
      <c r="F474" s="238"/>
      <c r="G474" s="238"/>
      <c r="H474" s="261"/>
    </row>
    <row r="475" spans="1:8">
      <c r="A475" s="217"/>
      <c r="B475" s="252"/>
      <c r="C475" s="252"/>
      <c r="D475" s="252"/>
      <c r="E475" s="238"/>
      <c r="F475" s="238"/>
      <c r="G475" s="238"/>
      <c r="H475" s="267"/>
    </row>
    <row r="476" spans="1:8">
      <c r="A476" s="217"/>
      <c r="B476" s="252"/>
      <c r="C476" s="252"/>
      <c r="D476" s="252"/>
      <c r="E476" s="238"/>
      <c r="F476" s="238"/>
      <c r="G476" s="238"/>
      <c r="H476" s="284"/>
    </row>
    <row r="477" spans="1:8">
      <c r="A477" s="217"/>
      <c r="B477" s="252"/>
      <c r="C477" s="252"/>
      <c r="D477" s="252"/>
      <c r="E477" s="238"/>
      <c r="F477" s="238"/>
      <c r="G477" s="238"/>
      <c r="H477" s="284"/>
    </row>
    <row r="478" spans="1:8">
      <c r="A478" s="217"/>
      <c r="B478" s="252"/>
      <c r="C478" s="252"/>
      <c r="D478" s="252"/>
      <c r="E478" s="238"/>
      <c r="F478" s="238"/>
      <c r="G478" s="238"/>
      <c r="H478" s="284"/>
    </row>
    <row r="479" spans="1:8">
      <c r="A479" s="217"/>
      <c r="B479" s="252"/>
      <c r="C479" s="252"/>
      <c r="D479" s="252"/>
      <c r="E479" s="238"/>
      <c r="F479" s="238"/>
      <c r="G479" s="238"/>
      <c r="H479" s="267"/>
    </row>
    <row r="480" spans="1:8">
      <c r="A480" s="217"/>
      <c r="B480" s="252"/>
      <c r="C480" s="252"/>
      <c r="D480" s="252"/>
      <c r="E480" s="238"/>
      <c r="F480" s="238"/>
      <c r="G480" s="238"/>
      <c r="H480" s="261"/>
    </row>
    <row r="481" spans="1:9">
      <c r="A481" s="217"/>
      <c r="B481" s="252"/>
      <c r="C481" s="252"/>
      <c r="D481" s="252"/>
      <c r="E481" s="238"/>
      <c r="F481" s="238"/>
      <c r="G481" s="238"/>
      <c r="H481" s="267"/>
    </row>
    <row r="482" spans="1:9">
      <c r="A482" s="217"/>
      <c r="B482" s="252"/>
      <c r="C482" s="252"/>
      <c r="D482" s="252"/>
      <c r="E482" s="238"/>
      <c r="F482" s="238"/>
      <c r="G482" s="238"/>
      <c r="H482" s="284"/>
    </row>
    <row r="483" spans="1:9">
      <c r="A483" s="217"/>
      <c r="B483" s="252"/>
      <c r="C483" s="252"/>
      <c r="D483" s="252"/>
      <c r="E483" s="242"/>
      <c r="F483" s="242"/>
      <c r="G483" s="242"/>
      <c r="H483" s="267"/>
      <c r="I483" s="246"/>
    </row>
    <row r="484" spans="1:9">
      <c r="A484" s="217"/>
      <c r="B484" s="252"/>
      <c r="C484" s="252"/>
      <c r="D484" s="252"/>
      <c r="E484" s="238"/>
      <c r="F484" s="238"/>
      <c r="G484" s="238"/>
      <c r="H484" s="261"/>
      <c r="I484" s="246"/>
    </row>
    <row r="485" spans="1:9">
      <c r="A485" s="217"/>
      <c r="B485" s="252"/>
      <c r="C485" s="252"/>
      <c r="D485" s="252"/>
      <c r="E485" s="242"/>
      <c r="F485" s="242"/>
      <c r="G485" s="242"/>
      <c r="H485" s="267"/>
      <c r="I485" s="298"/>
    </row>
    <row r="486" spans="1:9">
      <c r="A486" s="217"/>
      <c r="B486" s="252"/>
      <c r="C486" s="252"/>
      <c r="D486" s="252"/>
      <c r="E486" s="242"/>
      <c r="F486" s="242"/>
      <c r="G486" s="242"/>
      <c r="H486" s="267"/>
      <c r="I486" s="298"/>
    </row>
    <row r="487" spans="1:9">
      <c r="A487" s="217"/>
      <c r="B487" s="252"/>
      <c r="C487" s="252"/>
      <c r="D487" s="252"/>
      <c r="F487" s="234"/>
      <c r="H487" s="267"/>
      <c r="I487" s="298"/>
    </row>
    <row r="488" spans="1:9">
      <c r="A488" s="217"/>
      <c r="B488" s="252"/>
      <c r="C488" s="252"/>
      <c r="D488" s="252"/>
      <c r="F488" s="234"/>
      <c r="H488" s="267"/>
      <c r="I488" s="298"/>
    </row>
    <row r="489" spans="1:9">
      <c r="A489" s="217"/>
      <c r="B489" s="252"/>
      <c r="C489" s="252"/>
      <c r="D489" s="252"/>
      <c r="F489" s="234"/>
      <c r="G489" s="80"/>
      <c r="H489" s="267"/>
      <c r="I489" s="298"/>
    </row>
    <row r="490" spans="1:9">
      <c r="A490" s="217"/>
      <c r="E490" s="234"/>
      <c r="F490" s="234"/>
      <c r="G490" s="234"/>
      <c r="H490" s="284"/>
    </row>
    <row r="491" spans="1:9" ht="14">
      <c r="A491" s="217"/>
      <c r="D491" s="128"/>
      <c r="E491" s="234"/>
      <c r="F491" s="234"/>
      <c r="G491" s="234"/>
      <c r="H491" s="284"/>
    </row>
    <row r="492" spans="1:9">
      <c r="A492" s="217"/>
      <c r="B492" s="252"/>
      <c r="C492" s="252"/>
      <c r="D492" s="252"/>
      <c r="E492" s="242"/>
      <c r="F492" s="242"/>
      <c r="G492" s="242"/>
      <c r="H492" s="267"/>
      <c r="I492" s="298"/>
    </row>
    <row r="493" spans="1:9">
      <c r="A493" s="217"/>
      <c r="B493" s="252"/>
      <c r="C493" s="252"/>
      <c r="D493" s="252"/>
      <c r="E493" s="238"/>
      <c r="F493" s="238"/>
      <c r="G493" s="238"/>
      <c r="H493" s="267"/>
      <c r="I493" s="298"/>
    </row>
    <row r="494" spans="1:9">
      <c r="A494" s="217"/>
      <c r="B494" s="252"/>
      <c r="C494" s="252"/>
      <c r="D494" s="252"/>
      <c r="E494" s="242"/>
      <c r="F494" s="242"/>
      <c r="G494" s="242"/>
      <c r="H494" s="267"/>
      <c r="I494" s="298"/>
    </row>
    <row r="495" spans="1:9">
      <c r="A495" s="217"/>
      <c r="B495" s="252"/>
      <c r="C495" s="252"/>
      <c r="D495" s="252"/>
      <c r="E495" s="242"/>
      <c r="F495" s="242"/>
      <c r="G495" s="242"/>
      <c r="H495" s="267"/>
      <c r="I495" s="298"/>
    </row>
    <row r="496" spans="1:9">
      <c r="A496" s="217"/>
      <c r="B496" s="252"/>
      <c r="C496" s="252"/>
      <c r="D496" s="252"/>
      <c r="E496" s="238"/>
      <c r="F496" s="238"/>
      <c r="G496" s="238"/>
      <c r="H496" s="267"/>
      <c r="I496" s="298"/>
    </row>
    <row r="497" spans="1:9">
      <c r="A497" s="217"/>
      <c r="B497" s="252"/>
      <c r="C497" s="252"/>
      <c r="D497" s="252"/>
      <c r="E497" s="242"/>
      <c r="F497" s="242"/>
      <c r="G497" s="242"/>
      <c r="H497" s="267"/>
      <c r="I497" s="298"/>
    </row>
    <row r="498" spans="1:9">
      <c r="A498" s="217"/>
      <c r="B498" s="252"/>
      <c r="C498" s="252"/>
      <c r="D498" s="252"/>
      <c r="E498" s="242"/>
      <c r="F498" s="242"/>
      <c r="G498" s="242"/>
      <c r="H498" s="267"/>
      <c r="I498" s="298"/>
    </row>
    <row r="499" spans="1:9">
      <c r="A499" s="217"/>
      <c r="E499" s="234"/>
      <c r="F499" s="234"/>
      <c r="G499" s="234"/>
      <c r="I499" s="246"/>
    </row>
    <row r="500" spans="1:9" ht="14">
      <c r="A500" s="217"/>
      <c r="D500" s="128"/>
      <c r="E500" s="234"/>
      <c r="F500" s="234"/>
      <c r="G500" s="234"/>
      <c r="H500" s="234"/>
      <c r="I500" s="246"/>
    </row>
    <row r="501" spans="1:9">
      <c r="A501" s="217"/>
      <c r="B501" s="252"/>
      <c r="C501" s="252"/>
      <c r="D501" s="252"/>
      <c r="E501" s="234"/>
      <c r="F501" s="234"/>
      <c r="G501" s="234"/>
      <c r="H501" s="242"/>
      <c r="I501" s="246"/>
    </row>
    <row r="502" spans="1:9">
      <c r="A502" s="217"/>
      <c r="B502" s="252"/>
      <c r="C502" s="252"/>
      <c r="D502" s="252"/>
      <c r="E502" s="234"/>
      <c r="F502" s="234"/>
      <c r="G502" s="234"/>
      <c r="H502" s="242"/>
      <c r="I502" s="246"/>
    </row>
    <row r="503" spans="1:9">
      <c r="A503" s="217"/>
      <c r="D503" s="252"/>
      <c r="E503" s="242"/>
      <c r="F503" s="242"/>
      <c r="G503" s="242"/>
      <c r="H503" s="242"/>
      <c r="I503" s="246"/>
    </row>
    <row r="504" spans="1:9">
      <c r="A504" s="217"/>
      <c r="E504" s="234"/>
      <c r="F504" s="234"/>
      <c r="G504" s="234"/>
      <c r="H504" s="234"/>
    </row>
    <row r="505" spans="1:9">
      <c r="A505" s="217"/>
      <c r="E505" s="234"/>
      <c r="F505" s="234"/>
      <c r="G505" s="234"/>
      <c r="H505" s="246"/>
    </row>
    <row r="506" spans="1:9">
      <c r="A506" s="217"/>
      <c r="D506" s="252"/>
      <c r="E506" s="234"/>
      <c r="F506" s="234"/>
      <c r="G506" s="234"/>
      <c r="H506" s="246"/>
    </row>
    <row r="507" spans="1:9">
      <c r="A507" s="217"/>
      <c r="B507" s="252"/>
      <c r="C507" s="252"/>
      <c r="D507" s="252"/>
      <c r="E507" s="234"/>
      <c r="F507" s="234"/>
      <c r="G507" s="234"/>
      <c r="H507" s="234"/>
    </row>
    <row r="508" spans="1:9">
      <c r="A508" s="217"/>
      <c r="B508" s="252"/>
      <c r="C508" s="252"/>
      <c r="D508" s="252"/>
      <c r="E508" s="234"/>
      <c r="F508" s="234"/>
      <c r="G508" s="234"/>
    </row>
    <row r="509" spans="1:9">
      <c r="A509" s="217"/>
      <c r="E509" s="234"/>
      <c r="F509" s="234"/>
      <c r="G509" s="234"/>
    </row>
    <row r="510" spans="1:9" ht="14">
      <c r="A510" s="217"/>
      <c r="B510" s="291"/>
      <c r="C510" s="291"/>
      <c r="D510" s="284"/>
    </row>
    <row r="511" spans="1:9">
      <c r="A511" s="217"/>
      <c r="B511" s="234"/>
      <c r="C511" s="234"/>
      <c r="D511" s="242"/>
      <c r="E511" s="238"/>
    </row>
    <row r="512" spans="1:9">
      <c r="A512" s="217"/>
      <c r="B512" s="252"/>
      <c r="C512" s="252"/>
      <c r="D512" s="264"/>
      <c r="E512" s="286"/>
      <c r="F512" s="255"/>
    </row>
    <row r="513" spans="1:6">
      <c r="A513" s="217"/>
      <c r="B513" s="252"/>
      <c r="C513" s="252"/>
      <c r="D513" s="264"/>
      <c r="E513" s="286"/>
      <c r="F513" s="255"/>
    </row>
    <row r="514" spans="1:6">
      <c r="A514" s="217"/>
      <c r="B514" s="252"/>
      <c r="C514" s="252"/>
      <c r="D514" s="264"/>
      <c r="E514" s="286"/>
      <c r="F514" s="255"/>
    </row>
    <row r="515" spans="1:6">
      <c r="A515" s="217"/>
      <c r="B515" s="234"/>
      <c r="C515" s="234"/>
      <c r="D515" s="242"/>
      <c r="E515" s="238"/>
      <c r="F515" s="24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 13</vt:lpstr>
      <vt:lpstr>Chapter 14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2010-11-24T16:37:07Z</dcterms:created>
  <dcterms:modified xsi:type="dcterms:W3CDTF">2017-05-12T20:18:21Z</dcterms:modified>
</cp:coreProperties>
</file>