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940"/>
  </bookViews>
  <sheets>
    <sheet name="ROAD CONSTRUCTION &amp; USE OPTIMUM" sheetId="5" r:id="rId1"/>
    <sheet name="RESET VALUES" sheetId="1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5"/>
  <c r="I52"/>
  <c r="J60"/>
  <c r="O52"/>
  <c r="O51"/>
  <c r="O50"/>
  <c r="L52"/>
  <c r="L51"/>
  <c r="L50"/>
  <c r="E51" l="1"/>
  <c r="F51"/>
  <c r="E52"/>
  <c r="F52"/>
  <c r="F50"/>
  <c r="E50"/>
  <c r="O60" l="1"/>
  <c r="C104"/>
  <c r="C111" s="1"/>
  <c r="F89"/>
  <c r="E89"/>
  <c r="F88"/>
  <c r="E88"/>
  <c r="F87"/>
  <c r="E87"/>
  <c r="D80"/>
  <c r="D79"/>
  <c r="D78"/>
  <c r="P60"/>
  <c r="M60"/>
  <c r="L60"/>
  <c r="G60"/>
  <c r="F60"/>
  <c r="G157" s="1"/>
  <c r="E60"/>
  <c r="F127" s="1"/>
  <c r="E55"/>
  <c r="F157" l="1"/>
  <c r="D82"/>
  <c r="E82" s="1"/>
  <c r="E83" s="1"/>
  <c r="E86" s="1"/>
  <c r="F139"/>
  <c r="G120"/>
  <c r="G127"/>
  <c r="G139" s="1"/>
  <c r="F104"/>
  <c r="E56"/>
  <c r="E57"/>
  <c r="F120"/>
  <c r="G104"/>
  <c r="E104"/>
  <c r="I61" l="1"/>
  <c r="I62"/>
  <c r="O62"/>
  <c r="F86"/>
  <c r="D92" s="1"/>
  <c r="D86"/>
  <c r="N62"/>
  <c r="F62"/>
  <c r="G162" s="1"/>
  <c r="O61"/>
  <c r="K61"/>
  <c r="G61"/>
  <c r="J61" s="1"/>
  <c r="P62"/>
  <c r="H62"/>
  <c r="M61"/>
  <c r="M62"/>
  <c r="E62"/>
  <c r="F162" s="1"/>
  <c r="N61"/>
  <c r="F61"/>
  <c r="G159" s="1"/>
  <c r="L62"/>
  <c r="D62"/>
  <c r="E61"/>
  <c r="F159" s="1"/>
  <c r="P61"/>
  <c r="L61"/>
  <c r="K62"/>
  <c r="H61"/>
  <c r="G62"/>
  <c r="J62" s="1"/>
  <c r="D61"/>
  <c r="D76"/>
  <c r="D151" s="1"/>
  <c r="D99"/>
  <c r="D93" l="1"/>
  <c r="D91"/>
  <c r="G151"/>
  <c r="F151"/>
  <c r="G121"/>
  <c r="F105"/>
  <c r="F106"/>
  <c r="G122"/>
  <c r="E64"/>
  <c r="F121"/>
  <c r="E105"/>
  <c r="E66"/>
  <c r="G128"/>
  <c r="G141" s="1"/>
  <c r="C105"/>
  <c r="F128"/>
  <c r="F129"/>
  <c r="C106"/>
  <c r="G129"/>
  <c r="G144" s="1"/>
  <c r="F122"/>
  <c r="E106"/>
  <c r="E65"/>
  <c r="E68" l="1"/>
  <c r="F144"/>
  <c r="G106"/>
  <c r="C113"/>
  <c r="F141"/>
  <c r="E67"/>
  <c r="C112"/>
  <c r="G105"/>
  <c r="E69"/>
  <c r="E70" l="1"/>
  <c r="D20" l="1"/>
  <c r="I50" s="1"/>
  <c r="I60" s="1"/>
  <c r="G64" l="1"/>
  <c r="G66"/>
  <c r="E93" s="1"/>
  <c r="G65"/>
  <c r="D106" l="1"/>
  <c r="F133"/>
  <c r="E91"/>
  <c r="D102"/>
  <c r="D104"/>
  <c r="F134"/>
  <c r="G69"/>
  <c r="G68"/>
  <c r="F132"/>
  <c r="D105"/>
  <c r="E92"/>
  <c r="D95" s="1"/>
  <c r="E151" s="1"/>
  <c r="G67"/>
  <c r="G70" l="1"/>
  <c r="J64" s="1"/>
  <c r="F109"/>
  <c r="E112" s="1"/>
  <c r="E109"/>
  <c r="D109"/>
  <c r="D112" s="1"/>
  <c r="G99"/>
  <c r="J66" l="1"/>
  <c r="E122" s="1"/>
  <c r="J65"/>
  <c r="E121" s="1"/>
  <c r="E111"/>
  <c r="E113"/>
  <c r="D115" s="1"/>
  <c r="D111"/>
  <c r="D113"/>
  <c r="E120"/>
  <c r="D153"/>
  <c r="D152"/>
  <c r="G123" l="1"/>
  <c r="E123"/>
  <c r="G126" s="1"/>
  <c r="F123"/>
  <c r="F152"/>
  <c r="E152"/>
  <c r="G152"/>
  <c r="E126"/>
  <c r="F126" l="1"/>
  <c r="E134" s="1"/>
  <c r="F145"/>
  <c r="E133"/>
  <c r="E132"/>
  <c r="F142"/>
  <c r="F138"/>
  <c r="G145"/>
  <c r="G138"/>
  <c r="G142"/>
  <c r="F153"/>
  <c r="G153"/>
  <c r="E136" l="1"/>
  <c r="E153" s="1"/>
  <c r="E18"/>
  <c r="G163"/>
  <c r="G160"/>
  <c r="G156"/>
  <c r="D18"/>
  <c r="F156"/>
  <c r="F163"/>
  <c r="F160"/>
  <c r="F166" l="1"/>
  <c r="D21" s="1"/>
  <c r="F165"/>
  <c r="D23" s="1"/>
  <c r="F167"/>
  <c r="D22" s="1"/>
  <c r="D26" l="1"/>
  <c r="D25"/>
  <c r="D27"/>
  <c r="D28" s="1"/>
  <c r="D24"/>
  <c r="D29" l="1"/>
  <c r="D30" s="1"/>
</calcChain>
</file>

<file path=xl/sharedStrings.xml><?xml version="1.0" encoding="utf-8"?>
<sst xmlns="http://schemas.openxmlformats.org/spreadsheetml/2006/main" count="283" uniqueCount="160">
  <si>
    <t>k1 =</t>
  </si>
  <si>
    <t>k2 =</t>
  </si>
  <si>
    <t>k3 =</t>
  </si>
  <si>
    <t>D1 =</t>
  </si>
  <si>
    <t>D2 =</t>
  </si>
  <si>
    <t>D3 =</t>
  </si>
  <si>
    <t>K1 =</t>
  </si>
  <si>
    <t>K2 =</t>
  </si>
  <si>
    <t>K3 =</t>
  </si>
  <si>
    <t>J1 =</t>
  </si>
  <si>
    <t>J2 =</t>
  </si>
  <si>
    <t>J3 =</t>
  </si>
  <si>
    <t>AL =</t>
  </si>
  <si>
    <t>G1 =</t>
  </si>
  <si>
    <t>G2 =</t>
  </si>
  <si>
    <t>G3 =</t>
  </si>
  <si>
    <t>i</t>
  </si>
  <si>
    <t>xi</t>
  </si>
  <si>
    <t>yi</t>
  </si>
  <si>
    <t>A =</t>
  </si>
  <si>
    <t>A = 0  ?</t>
  </si>
  <si>
    <t>A &lt; 0  ?</t>
  </si>
  <si>
    <t>kmax =</t>
  </si>
  <si>
    <t>ki</t>
  </si>
  <si>
    <t>INPUT</t>
  </si>
  <si>
    <t>CHECKED</t>
  </si>
  <si>
    <t>RAW</t>
  </si>
  <si>
    <t>TAKEOFF</t>
  </si>
  <si>
    <t>DELTA =</t>
  </si>
  <si>
    <t>MAX =</t>
  </si>
  <si>
    <t>Coordinates (hm)</t>
  </si>
  <si>
    <t>*x</t>
  </si>
  <si>
    <t>*y</t>
  </si>
  <si>
    <t>SAJ =</t>
  </si>
  <si>
    <t>SBJ =</t>
  </si>
  <si>
    <t>SJT =</t>
  </si>
  <si>
    <t>COST =</t>
  </si>
  <si>
    <t>DATA</t>
  </si>
  <si>
    <t>COLLINEAR HORIZONTAL CONTROL POINTS</t>
  </si>
  <si>
    <t>Road Costs</t>
  </si>
  <si>
    <t>INDIC =</t>
  </si>
  <si>
    <t>IF YES; INDIC = 1</t>
  </si>
  <si>
    <t>Timber Volumes (m3)</t>
  </si>
  <si>
    <t>AC2 =</t>
  </si>
  <si>
    <t>Volume at:</t>
  </si>
  <si>
    <t>JUNCTION</t>
  </si>
  <si>
    <t>Construction ($/hm)</t>
  </si>
  <si>
    <t>JUNCTION to TAKEOFF</t>
  </si>
  <si>
    <t>HCP A</t>
  </si>
  <si>
    <t>HCP A to JUNCTION</t>
  </si>
  <si>
    <t>HCP B</t>
  </si>
  <si>
    <t>HCP B to JUNCTION</t>
  </si>
  <si>
    <t>Hauling ($/m3-hm)</t>
  </si>
  <si>
    <t>T</t>
  </si>
  <si>
    <t>A</t>
  </si>
  <si>
    <t>B</t>
  </si>
  <si>
    <t>X</t>
  </si>
  <si>
    <t>Y</t>
  </si>
  <si>
    <t>JUNCTION:</t>
  </si>
  <si>
    <t>FROM</t>
  </si>
  <si>
    <t>TO JUNCTION AT</t>
  </si>
  <si>
    <t>I</t>
  </si>
  <si>
    <t>II</t>
  </si>
  <si>
    <t>III</t>
  </si>
  <si>
    <t>IV</t>
  </si>
  <si>
    <t>V</t>
  </si>
  <si>
    <t>VI</t>
  </si>
  <si>
    <t>VII</t>
  </si>
  <si>
    <t>VIII</t>
  </si>
  <si>
    <t>JUNCTION =</t>
  </si>
  <si>
    <t>G1, G2, G3 &lt; 0</t>
  </si>
  <si>
    <t>x</t>
  </si>
  <si>
    <t>y</t>
  </si>
  <si>
    <t>YES IF INDIC = 1</t>
  </si>
  <si>
    <t>COST</t>
  </si>
  <si>
    <t>SIGN CHECK</t>
  </si>
  <si>
    <t>J</t>
  </si>
  <si>
    <t>SAT =</t>
  </si>
  <si>
    <t>SBT =</t>
  </si>
  <si>
    <t>SAB =</t>
  </si>
  <si>
    <t>DISTANCES</t>
  </si>
  <si>
    <t>MIDDLE CONTROL POINT:</t>
  </si>
  <si>
    <t>AND</t>
  </si>
  <si>
    <t>USE THIS CORNER SOLUTION IF POINTS NOT COLLINEAR AND AC2 LESS THAN OR EQUAL TO 0</t>
  </si>
  <si>
    <t>USE THIS CORNER SOLUTION IF POINTS NOT COLLINEAR AND AC2 GREATER THAN  0</t>
  </si>
  <si>
    <t>SOLUTION PROCEDURE</t>
  </si>
  <si>
    <t>A =0</t>
  </si>
  <si>
    <t>INDEX</t>
  </si>
  <si>
    <t>SJT</t>
  </si>
  <si>
    <t>SAJ</t>
  </si>
  <si>
    <t>SBJ</t>
  </si>
  <si>
    <t>Landing A</t>
  </si>
  <si>
    <t>Landing B</t>
  </si>
  <si>
    <t>Road Takeoff</t>
  </si>
  <si>
    <t>$/Hectometer</t>
  </si>
  <si>
    <t>Hectometer</t>
  </si>
  <si>
    <t>VA =</t>
  </si>
  <si>
    <t>VB =</t>
  </si>
  <si>
    <t>VJ =</t>
  </si>
  <si>
    <t>TRUE IF 1; THEN COLLINEAR</t>
  </si>
  <si>
    <t>TRUE IF 1; THEN EXCHANGE</t>
  </si>
  <si>
    <t>A ≠ 0  ?</t>
  </si>
  <si>
    <t>AC2 ≤ 0  ?</t>
  </si>
  <si>
    <t>G1 ≥ 0  ?</t>
  </si>
  <si>
    <t>G2 ≥ 0  ?</t>
  </si>
  <si>
    <t>G3 ≥ 0  ?</t>
  </si>
  <si>
    <t>A ≠ 0 AND AC2 ≤  0</t>
  </si>
  <si>
    <t>A ≠ 0 AND AC2 &gt;  0</t>
  </si>
  <si>
    <r>
      <t>V</t>
    </r>
    <r>
      <rPr>
        <b/>
        <vertAlign val="subscript"/>
        <sz val="12"/>
        <color theme="1"/>
        <rFont val="Times New Roman"/>
        <family val="1"/>
      </rPr>
      <t>B</t>
    </r>
  </si>
  <si>
    <r>
      <t>Meter</t>
    </r>
    <r>
      <rPr>
        <b/>
        <vertAlign val="superscript"/>
        <sz val="12"/>
        <color theme="1"/>
        <rFont val="Times New Roman"/>
        <family val="1"/>
      </rPr>
      <t>3</t>
    </r>
  </si>
  <si>
    <r>
      <t>V</t>
    </r>
    <r>
      <rPr>
        <b/>
        <vertAlign val="subscript"/>
        <sz val="12"/>
        <color theme="1"/>
        <rFont val="Times New Roman"/>
        <family val="1"/>
      </rPr>
      <t>A</t>
    </r>
  </si>
  <si>
    <t>CALCULATED ON THIS SHEET</t>
  </si>
  <si>
    <t>$</t>
  </si>
  <si>
    <t>RUC</t>
  </si>
  <si>
    <r>
      <t>$/Meter</t>
    </r>
    <r>
      <rPr>
        <b/>
        <vertAlign val="superscript"/>
        <sz val="12"/>
        <color theme="1"/>
        <rFont val="Times New Roman"/>
        <family val="1"/>
      </rPr>
      <t>3</t>
    </r>
  </si>
  <si>
    <r>
      <t>RUC</t>
    </r>
    <r>
      <rPr>
        <b/>
        <vertAlign val="subscript"/>
        <sz val="12"/>
        <color theme="1"/>
        <rFont val="Times New Roman"/>
        <family val="1"/>
      </rPr>
      <t>A</t>
    </r>
  </si>
  <si>
    <r>
      <t>RUC</t>
    </r>
    <r>
      <rPr>
        <b/>
        <vertAlign val="subscript"/>
        <sz val="12"/>
        <color theme="1"/>
        <rFont val="Times New Roman"/>
        <family val="1"/>
      </rPr>
      <t>B</t>
    </r>
  </si>
  <si>
    <r>
      <t>V</t>
    </r>
    <r>
      <rPr>
        <b/>
        <vertAlign val="subscript"/>
        <sz val="12"/>
        <color theme="1"/>
        <rFont val="Times New Roman"/>
        <family val="1"/>
      </rPr>
      <t>J</t>
    </r>
  </si>
  <si>
    <t>RCC</t>
  </si>
  <si>
    <t>RUCA</t>
  </si>
  <si>
    <t>RUCB</t>
  </si>
  <si>
    <t>COMMENTS</t>
  </si>
  <si>
    <t>SYMBOL</t>
  </si>
  <si>
    <t>SAJ+SBJ+SJT</t>
  </si>
  <si>
    <t>VA</t>
  </si>
  <si>
    <t>VB</t>
  </si>
  <si>
    <t>VJ</t>
  </si>
  <si>
    <t>Junction Coordinates</t>
  </si>
  <si>
    <t>RCC+RUC</t>
  </si>
  <si>
    <t>CALCULATION SECTION NUMBER</t>
  </si>
  <si>
    <t>COORDINATES</t>
  </si>
  <si>
    <t>VALUES</t>
  </si>
  <si>
    <r>
      <t>h</t>
    </r>
    <r>
      <rPr>
        <b/>
        <vertAlign val="subscript"/>
        <sz val="12"/>
        <color theme="1"/>
        <rFont val="Times New Roman"/>
        <family val="1"/>
      </rPr>
      <t>AJ</t>
    </r>
  </si>
  <si>
    <r>
      <t>r</t>
    </r>
    <r>
      <rPr>
        <b/>
        <vertAlign val="subscript"/>
        <sz val="12"/>
        <color theme="1"/>
        <rFont val="Times New Roman"/>
        <family val="1"/>
      </rPr>
      <t>AJ</t>
    </r>
  </si>
  <si>
    <r>
      <t>h</t>
    </r>
    <r>
      <rPr>
        <b/>
        <vertAlign val="subscript"/>
        <sz val="12"/>
        <color theme="1"/>
        <rFont val="Times New Roman"/>
        <family val="1"/>
      </rPr>
      <t>BJ</t>
    </r>
  </si>
  <si>
    <r>
      <t>r</t>
    </r>
    <r>
      <rPr>
        <b/>
        <vertAlign val="subscript"/>
        <sz val="12"/>
        <color theme="1"/>
        <rFont val="Times New Roman"/>
        <family val="1"/>
      </rPr>
      <t>BJ</t>
    </r>
  </si>
  <si>
    <r>
      <t>h</t>
    </r>
    <r>
      <rPr>
        <b/>
        <vertAlign val="subscript"/>
        <sz val="12"/>
        <color theme="1"/>
        <rFont val="Times New Roman"/>
        <family val="1"/>
      </rPr>
      <t>JT</t>
    </r>
  </si>
  <si>
    <r>
      <t>r</t>
    </r>
    <r>
      <rPr>
        <b/>
        <vertAlign val="subscript"/>
        <sz val="12"/>
        <color theme="1"/>
        <rFont val="Times New Roman"/>
        <family val="1"/>
      </rPr>
      <t>JT</t>
    </r>
  </si>
  <si>
    <r>
      <t>r</t>
    </r>
    <r>
      <rPr>
        <b/>
        <vertAlign val="subscript"/>
        <sz val="12"/>
        <color theme="1"/>
        <rFont val="Times New Roman"/>
        <family val="1"/>
      </rPr>
      <t>JT</t>
    </r>
    <r>
      <rPr>
        <b/>
        <sz val="12"/>
        <color theme="1"/>
        <rFont val="Times New Roman"/>
        <family val="1"/>
      </rPr>
      <t xml:space="preserve"> =</t>
    </r>
  </si>
  <si>
    <r>
      <t>h</t>
    </r>
    <r>
      <rPr>
        <b/>
        <vertAlign val="subscript"/>
        <sz val="12"/>
        <color theme="1"/>
        <rFont val="Times New Roman"/>
        <family val="1"/>
      </rPr>
      <t xml:space="preserve">JT </t>
    </r>
    <r>
      <rPr>
        <b/>
        <sz val="12"/>
        <color theme="1"/>
        <rFont val="Times New Roman"/>
        <family val="1"/>
      </rPr>
      <t>=</t>
    </r>
  </si>
  <si>
    <r>
      <t>h</t>
    </r>
    <r>
      <rPr>
        <b/>
        <vertAlign val="subscript"/>
        <sz val="12"/>
        <color theme="1"/>
        <rFont val="Times New Roman"/>
        <family val="1"/>
      </rPr>
      <t xml:space="preserve">AJ </t>
    </r>
    <r>
      <rPr>
        <b/>
        <sz val="12"/>
        <color theme="1"/>
        <rFont val="Times New Roman"/>
        <family val="1"/>
      </rPr>
      <t>=</t>
    </r>
  </si>
  <si>
    <r>
      <t>h</t>
    </r>
    <r>
      <rPr>
        <b/>
        <vertAlign val="subscript"/>
        <sz val="12"/>
        <color theme="1"/>
        <rFont val="Times New Roman"/>
        <family val="1"/>
      </rPr>
      <t xml:space="preserve">BJ </t>
    </r>
    <r>
      <rPr>
        <b/>
        <sz val="12"/>
        <color theme="1"/>
        <rFont val="Times New Roman"/>
        <family val="1"/>
      </rPr>
      <t>=</t>
    </r>
  </si>
  <si>
    <r>
      <t>r</t>
    </r>
    <r>
      <rPr>
        <b/>
        <vertAlign val="subscript"/>
        <sz val="12"/>
        <color theme="1"/>
        <rFont val="Times New Roman"/>
        <family val="1"/>
      </rPr>
      <t>AJ</t>
    </r>
    <r>
      <rPr>
        <b/>
        <sz val="12"/>
        <color theme="1"/>
        <rFont val="Times New Roman"/>
        <family val="1"/>
      </rPr>
      <t xml:space="preserve"> =</t>
    </r>
  </si>
  <si>
    <r>
      <t>r</t>
    </r>
    <r>
      <rPr>
        <b/>
        <vertAlign val="subscript"/>
        <sz val="12"/>
        <color theme="1"/>
        <rFont val="Times New Roman"/>
        <family val="1"/>
      </rPr>
      <t>BJ</t>
    </r>
    <r>
      <rPr>
        <b/>
        <sz val="12"/>
        <color theme="1"/>
        <rFont val="Times New Roman"/>
        <family val="1"/>
      </rPr>
      <t xml:space="preserve"> =</t>
    </r>
  </si>
  <si>
    <t>hJT =</t>
  </si>
  <si>
    <t>rJT =</t>
  </si>
  <si>
    <t>hAJ</t>
  </si>
  <si>
    <t>rAJ</t>
  </si>
  <si>
    <t>hBJ</t>
  </si>
  <si>
    <t>rBJ</t>
  </si>
  <si>
    <t>hJT</t>
  </si>
  <si>
    <t>rJT</t>
  </si>
  <si>
    <r>
      <t>$/Meter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-Hectometer (HCP A to Junction)</t>
    </r>
  </si>
  <si>
    <r>
      <t>$/Meter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-Hectometer (HCP B to Junction)</t>
    </r>
  </si>
  <si>
    <r>
      <t>$/Meter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-Hectometer (Junction to Takeoff)</t>
    </r>
  </si>
  <si>
    <r>
      <t>RCC/V</t>
    </r>
    <r>
      <rPr>
        <b/>
        <vertAlign val="subscript"/>
        <sz val="12"/>
        <color theme="1"/>
        <rFont val="Times New Roman"/>
        <family val="1"/>
      </rPr>
      <t>J</t>
    </r>
  </si>
  <si>
    <r>
      <t>Meter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at HCP A</t>
    </r>
  </si>
  <si>
    <r>
      <t>Meter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at HCP B</t>
    </r>
  </si>
  <si>
    <r>
      <t>Meter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 xml:space="preserve"> at Junction</t>
    </r>
  </si>
  <si>
    <t>HCP Takeoff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</si>
</sst>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0.0000"/>
    <numFmt numFmtId="166" formatCode="#,##0.0000"/>
    <numFmt numFmtId="167" formatCode="&quot;$&quot;#,##0.0000"/>
  </numFmts>
  <fonts count="1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0" borderId="4" xfId="0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6" xfId="0" applyFont="1" applyBorder="1"/>
    <xf numFmtId="0" fontId="2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164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4" xfId="0" applyFont="1" applyBorder="1"/>
    <xf numFmtId="165" fontId="2" fillId="0" borderId="0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center"/>
    </xf>
    <xf numFmtId="0" fontId="3" fillId="0" borderId="3" xfId="0" applyFont="1" applyFill="1" applyBorder="1"/>
    <xf numFmtId="165" fontId="2" fillId="0" borderId="5" xfId="0" applyNumberFormat="1" applyFont="1" applyFill="1" applyBorder="1" applyAlignment="1">
      <alignment horizontal="left"/>
    </xf>
    <xf numFmtId="165" fontId="2" fillId="0" borderId="8" xfId="0" applyNumberFormat="1" applyFont="1" applyFill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0" borderId="0" xfId="0" applyNumberFormat="1" applyFont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center"/>
    </xf>
    <xf numFmtId="0" fontId="3" fillId="0" borderId="7" xfId="0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1" xfId="0" applyFont="1" applyFill="1" applyBorder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Horizontal Control Points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J to T</c:v>
          </c:tx>
          <c:spPr>
            <a:ln w="25400" cap="rnd">
              <a:solidFill>
                <a:schemeClr val="tx1"/>
              </a:solidFill>
              <a:round/>
              <a:tailEnd type="stealth" w="lg" len="lg"/>
            </a:ln>
            <a:effectLst/>
          </c:spPr>
          <c:marker>
            <c:symbol val="circle"/>
            <c:size val="10"/>
            <c:spPr>
              <a:noFill/>
              <a:ln w="12700">
                <a:noFill/>
              </a:ln>
              <a:effectLst/>
            </c:spPr>
          </c:marker>
          <c:xVal>
            <c:numRef>
              <c:f>'ROAD CONSTRUCTION &amp; USE OPTIMUM'!$F$156:$F$157</c:f>
              <c:numCache>
                <c:formatCode>0.0000</c:formatCode>
                <c:ptCount val="2"/>
                <c:pt idx="0">
                  <c:v>15.973724532410285</c:v>
                </c:pt>
                <c:pt idx="1">
                  <c:v>5</c:v>
                </c:pt>
              </c:numCache>
            </c:numRef>
          </c:xVal>
          <c:yVal>
            <c:numRef>
              <c:f>'ROAD CONSTRUCTION &amp; USE OPTIMUM'!$G$156:$G$157</c:f>
              <c:numCache>
                <c:formatCode>0.0000</c:formatCode>
                <c:ptCount val="2"/>
                <c:pt idx="0">
                  <c:v>9.8374020748905053</c:v>
                </c:pt>
                <c:pt idx="1">
                  <c:v>10</c:v>
                </c:pt>
              </c:numCache>
            </c:numRef>
          </c:yVal>
        </c:ser>
        <c:ser>
          <c:idx val="1"/>
          <c:order val="1"/>
          <c:tx>
            <c:v>A to J</c:v>
          </c:tx>
          <c:spPr>
            <a:ln w="25400" cap="rnd">
              <a:solidFill>
                <a:schemeClr val="tx1"/>
              </a:solidFill>
              <a:round/>
              <a:tailEnd type="stealth" w="lg" len="lg"/>
            </a:ln>
            <a:effectLst/>
          </c:spPr>
          <c:marker>
            <c:symbol val="circle"/>
            <c:size val="5"/>
            <c:spPr>
              <a:solidFill>
                <a:schemeClr val="dk1">
                  <a:tint val="55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xVal>
            <c:numRef>
              <c:f>'ROAD CONSTRUCTION &amp; USE OPTIMUM'!$F$159:$F$160</c:f>
              <c:numCache>
                <c:formatCode>0.0000</c:formatCode>
                <c:ptCount val="2"/>
                <c:pt idx="0">
                  <c:v>25</c:v>
                </c:pt>
                <c:pt idx="1">
                  <c:v>15.973724532410285</c:v>
                </c:pt>
              </c:numCache>
            </c:numRef>
          </c:xVal>
          <c:yVal>
            <c:numRef>
              <c:f>'ROAD CONSTRUCTION &amp; USE OPTIMUM'!$G$159:$G$160</c:f>
              <c:numCache>
                <c:formatCode>0.0000</c:formatCode>
                <c:ptCount val="2"/>
                <c:pt idx="0">
                  <c:v>5</c:v>
                </c:pt>
                <c:pt idx="1">
                  <c:v>9.8374020748905053</c:v>
                </c:pt>
              </c:numCache>
            </c:numRef>
          </c:yVal>
        </c:ser>
        <c:ser>
          <c:idx val="2"/>
          <c:order val="2"/>
          <c:tx>
            <c:v>B to J</c:v>
          </c:tx>
          <c:spPr>
            <a:ln w="25400" cap="rnd">
              <a:solidFill>
                <a:schemeClr val="tx1"/>
              </a:solidFill>
              <a:round/>
              <a:tailEnd type="stealth" w="lg" len="lg"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dk1">
                    <a:tint val="75000"/>
                  </a:schemeClr>
                </a:solidFill>
              </a:ln>
              <a:effectLst/>
            </c:spPr>
          </c:marker>
          <c:xVal>
            <c:numRef>
              <c:f>'ROAD CONSTRUCTION &amp; USE OPTIMUM'!$F$162:$F$163</c:f>
              <c:numCache>
                <c:formatCode>0.0000</c:formatCode>
                <c:ptCount val="2"/>
                <c:pt idx="0">
                  <c:v>20</c:v>
                </c:pt>
                <c:pt idx="1">
                  <c:v>15.973724532410285</c:v>
                </c:pt>
              </c:numCache>
            </c:numRef>
          </c:xVal>
          <c:yVal>
            <c:numRef>
              <c:f>'ROAD CONSTRUCTION &amp; USE OPTIMUM'!$G$162:$G$163</c:f>
              <c:numCache>
                <c:formatCode>0.0000</c:formatCode>
                <c:ptCount val="2"/>
                <c:pt idx="0">
                  <c:v>15</c:v>
                </c:pt>
                <c:pt idx="1">
                  <c:v>9.8374020748905053</c:v>
                </c:pt>
              </c:numCache>
            </c:numRef>
          </c:yVal>
        </c:ser>
        <c:ser>
          <c:idx val="3"/>
          <c:order val="3"/>
          <c:tx>
            <c:v>T A 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38100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559D0633-BEDC-41B7-B88E-D014EEDF8B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AE369B1-27B1-48AA-BE3D-9761D308B4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62A2413-E5E9-402B-9F16-D0B2B33D7D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/>
                </a:pPr>
                <a:endParaRPr lang="en-US"/>
              </a:p>
            </c:txPr>
            <c:dLblPos val="b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'ROAD CONSTRUCTION &amp; USE OPTIMUM'!$F$127:$F$129</c:f>
              <c:numCache>
                <c:formatCode>0.0000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20</c:v>
                </c:pt>
              </c:numCache>
            </c:numRef>
          </c:xVal>
          <c:yVal>
            <c:numRef>
              <c:f>'ROAD CONSTRUCTION &amp; USE OPTIMUM'!$G$127:$G$129</c:f>
              <c:numCache>
                <c:formatCode>0.0000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15</c:v>
                </c:pt>
              </c:numCache>
            </c:numRef>
          </c:yVal>
          <c:extLst>
            <c:ext xmlns:c15="http://schemas.microsoft.com/office/drawing/2012/chart" uri="{02D57815-91ED-43cb-92C2-25804820EDAC}">
              <c15:datalabelsRange>
                <c15:f>'ROAD CONSTRUCTION &amp; USE OPTIMUM'!$E$127:$E$129</c15:f>
                <c15:dlblRangeCache>
                  <c:ptCount val="3"/>
                  <c:pt idx="0">
                    <c:v>T</c:v>
                  </c:pt>
                  <c:pt idx="1">
                    <c:v>A</c:v>
                  </c:pt>
                  <c:pt idx="2">
                    <c:v>B</c:v>
                  </c:pt>
                </c15:dlblRangeCache>
              </c15:datalabelsRange>
            </c:ext>
          </c:extLst>
        </c:ser>
        <c:dLbls/>
        <c:axId val="76911360"/>
        <c:axId val="76913280"/>
      </c:scatterChart>
      <c:valAx>
        <c:axId val="76911360"/>
        <c:scaling>
          <c:orientation val="minMax"/>
        </c:scaling>
        <c:axPos val="b"/>
        <c:majorGridlines>
          <c:spPr>
            <a:ln w="6350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</a:rPr>
                  <a:t>Easting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0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13280"/>
        <c:crosses val="autoZero"/>
        <c:crossBetween val="midCat"/>
        <c:minorUnit val="1"/>
      </c:valAx>
      <c:valAx>
        <c:axId val="76913280"/>
        <c:scaling>
          <c:orientation val="minMax"/>
        </c:scaling>
        <c:axPos val="l"/>
        <c:majorGridlines>
          <c:spPr>
            <a:ln w="6350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</a:rPr>
                  <a:t>Northing</a:t>
                </a:r>
              </a:p>
            </c:rich>
          </c:tx>
          <c:layout>
            <c:manualLayout>
              <c:xMode val="edge"/>
              <c:yMode val="edge"/>
              <c:x val="1.5526621431627899E-2"/>
              <c:y val="0.40368860454092181"/>
            </c:manualLayout>
          </c:layout>
          <c:spPr>
            <a:noFill/>
            <a:ln>
              <a:noFill/>
            </a:ln>
            <a:effectLst/>
          </c:spPr>
        </c:title>
        <c:numFmt formatCode="0.0" sourceLinked="0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11360"/>
        <c:crosses val="autoZero"/>
        <c:crossBetween val="midCat"/>
        <c:majorUnit val="2"/>
        <c:minorUnit val="1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288907</xdr:colOff>
      <xdr:row>10</xdr:row>
      <xdr:rowOff>199182</xdr:rowOff>
    </xdr:from>
    <xdr:to>
      <xdr:col>6</xdr:col>
      <xdr:colOff>1977245</xdr:colOff>
      <xdr:row>36</xdr:row>
      <xdr:rowOff>164038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294160</xdr:colOff>
      <xdr:row>30</xdr:row>
      <xdr:rowOff>121596</xdr:rowOff>
    </xdr:from>
    <xdr:ext cx="4340804" cy="2283959"/>
    <xdr:sp macro="" textlink="">
      <xdr:nvSpPr>
        <xdr:cNvPr id="4" name="TextBox 3"/>
        <xdr:cNvSpPr txBox="1"/>
      </xdr:nvSpPr>
      <xdr:spPr>
        <a:xfrm>
          <a:off x="4203675" y="6518984"/>
          <a:ext cx="4340804" cy="228395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400"/>
            <a:t>NOTE</a:t>
          </a:r>
        </a:p>
        <a:p>
          <a:r>
            <a:rPr lang="en-US" sz="1400"/>
            <a:t>The yellow</a:t>
          </a:r>
          <a:r>
            <a:rPr lang="en-US" sz="1400" baseline="0"/>
            <a:t> highlighted parameters and variables </a:t>
          </a:r>
          <a:r>
            <a:rPr lang="en-US" sz="1400" baseline="0">
              <a:solidFill>
                <a:schemeClr val="tx1"/>
              </a:solidFill>
              <a:latin typeface="+mn-lt"/>
              <a:ea typeface="+mn-ea"/>
              <a:cs typeface="+mn-cs"/>
            </a:rPr>
            <a:t>may be </a:t>
          </a:r>
          <a:endParaRPr lang="en-US" sz="1400" baseline="0"/>
        </a:p>
        <a:p>
          <a:r>
            <a:rPr lang="en-US" sz="1400" baseline="0"/>
            <a:t>changed to any reasonable values.</a:t>
          </a:r>
        </a:p>
        <a:p>
          <a:endParaRPr lang="en-US" sz="1400" baseline="0"/>
        </a:p>
        <a:p>
          <a:pPr algn="ctr"/>
          <a:r>
            <a:rPr lang="en-US" sz="1400" baseline="0"/>
            <a:t>ABREVIATIONS</a:t>
          </a:r>
        </a:p>
        <a:p>
          <a:r>
            <a:rPr lang="en-US" sz="1400" baseline="0"/>
            <a:t>HCP: Horizontal Control Point</a:t>
          </a:r>
        </a:p>
        <a:p>
          <a:r>
            <a:rPr lang="en-US" sz="1400" baseline="0"/>
            <a:t>RUC: Road Use Cost</a:t>
          </a:r>
        </a:p>
        <a:p>
          <a:r>
            <a:rPr lang="en-US" sz="1400" baseline="0"/>
            <a:t>RCC: Road Construction Cost   </a:t>
          </a:r>
        </a:p>
        <a:p>
          <a:endParaRPr lang="en-US" sz="1400" baseline="0"/>
        </a:p>
        <a:p>
          <a:endParaRPr lang="en-US" sz="1400" baseline="0"/>
        </a:p>
      </xdr:txBody>
    </xdr:sp>
    <xdr:clientData/>
  </xdr:oneCellAnchor>
  <xdr:oneCellAnchor>
    <xdr:from>
      <xdr:col>5</xdr:col>
      <xdr:colOff>282445</xdr:colOff>
      <xdr:row>1</xdr:row>
      <xdr:rowOff>163403</xdr:rowOff>
    </xdr:from>
    <xdr:ext cx="3304431" cy="937757"/>
    <xdr:sp macro="" textlink="">
      <xdr:nvSpPr>
        <xdr:cNvPr id="5" name="TextBox 4"/>
        <xdr:cNvSpPr txBox="1"/>
      </xdr:nvSpPr>
      <xdr:spPr>
        <a:xfrm>
          <a:off x="8812296" y="362433"/>
          <a:ext cx="3304431" cy="937757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800" b="1">
              <a:solidFill>
                <a:schemeClr val="tx1"/>
              </a:solidFill>
              <a:latin typeface="+mn-lt"/>
              <a:ea typeface="+mn-ea"/>
              <a:cs typeface="+mn-cs"/>
            </a:rPr>
            <a:t>NOTE</a:t>
          </a:r>
          <a:endParaRPr lang="en-US" sz="1800"/>
        </a:p>
        <a:p>
          <a:r>
            <a:rPr lang="en-US" sz="1800" b="1">
              <a:solidFill>
                <a:schemeClr val="tx1"/>
              </a:solidFill>
              <a:latin typeface="+mn-lt"/>
              <a:ea typeface="+mn-ea"/>
              <a:cs typeface="+mn-cs"/>
            </a:rPr>
            <a:t>Optimization</a:t>
          </a:r>
          <a:r>
            <a:rPr lang="en-US" sz="18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is automatic; </a:t>
          </a:r>
          <a:endParaRPr lang="en-US" sz="1800"/>
        </a:p>
        <a:p>
          <a:r>
            <a:rPr lang="en-US" sz="18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Solver does not have to be used.</a:t>
          </a:r>
          <a:endParaRPr lang="en-US" sz="18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388115</xdr:colOff>
      <xdr:row>2</xdr:row>
      <xdr:rowOff>123825</xdr:rowOff>
    </xdr:from>
    <xdr:ext cx="2846548" cy="2503506"/>
    <xdr:sp macro="" textlink="">
      <xdr:nvSpPr>
        <xdr:cNvPr id="2" name="TextBox 1"/>
        <xdr:cNvSpPr txBox="1"/>
      </xdr:nvSpPr>
      <xdr:spPr>
        <a:xfrm>
          <a:off x="6388865" y="504825"/>
          <a:ext cx="2846548" cy="250350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NOTE</a:t>
          </a:r>
          <a:endParaRPr lang="en-US"/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values given here are those associated</a:t>
          </a:r>
          <a:endParaRPr lang="en-US"/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with the example problem of the paper:</a:t>
          </a:r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"Optimal Economic Selection of Road</a:t>
          </a:r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Design Standards for Timber Harvesting</a:t>
          </a:r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Operations - A Corrected Analytical Model".</a:t>
          </a:r>
        </a:p>
        <a:p>
          <a:endParaRPr lang="en-US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The units in this example are MMBf &amp; Stations</a:t>
          </a:r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rather than M</a:t>
          </a:r>
          <a:r>
            <a:rPr lang="en-US" sz="110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3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and hectometers.</a:t>
          </a:r>
        </a:p>
        <a:p>
          <a:endParaRPr lang="en-US" baseline="30000"/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If the yellow highlighted values are pasted </a:t>
          </a:r>
          <a:endParaRPr lang="en-US"/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onto the optimization sheet the calculated</a:t>
          </a:r>
          <a:endParaRPr lang="en-US"/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values shown here in green should appear.</a:t>
          </a:r>
        </a:p>
        <a:p>
          <a:endParaRPr lang="en-US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67"/>
  <sheetViews>
    <sheetView tabSelected="1" zoomScale="67" zoomScaleNormal="67" workbookViewId="0">
      <selection activeCell="F42" sqref="F42"/>
    </sheetView>
  </sheetViews>
  <sheetFormatPr defaultRowHeight="15.75"/>
  <cols>
    <col min="1" max="1" width="9.140625" style="8"/>
    <col min="2" max="2" width="49.5703125" style="7" bestFit="1" customWidth="1"/>
    <col min="3" max="3" width="28.140625" style="8" bestFit="1" customWidth="1"/>
    <col min="4" max="4" width="31.42578125" style="19" bestFit="1" customWidth="1"/>
    <col min="5" max="5" width="19.140625" style="19" bestFit="1" customWidth="1"/>
    <col min="6" max="6" width="41.7109375" style="19" customWidth="1"/>
    <col min="7" max="7" width="30.7109375" style="19" customWidth="1"/>
    <col min="8" max="8" width="20.5703125" style="19" customWidth="1"/>
    <col min="9" max="9" width="18" style="19" customWidth="1"/>
    <col min="10" max="10" width="22.140625" style="19" bestFit="1" customWidth="1"/>
    <col min="11" max="11" width="18" style="19" bestFit="1" customWidth="1"/>
    <col min="12" max="12" width="15.28515625" style="19" customWidth="1"/>
    <col min="13" max="13" width="34.5703125" style="19" bestFit="1" customWidth="1"/>
    <col min="14" max="14" width="18" style="19" bestFit="1" customWidth="1"/>
    <col min="15" max="15" width="29.42578125" style="19" bestFit="1" customWidth="1"/>
    <col min="16" max="16" width="34.5703125" style="8" bestFit="1" customWidth="1"/>
    <col min="17" max="17" width="10.85546875" style="8" bestFit="1" customWidth="1"/>
    <col min="18" max="18" width="9.140625" style="8"/>
    <col min="19" max="19" width="16" style="8" customWidth="1"/>
    <col min="20" max="20" width="54.5703125" style="8" bestFit="1" customWidth="1"/>
    <col min="21" max="21" width="14.5703125" style="8" bestFit="1" customWidth="1"/>
    <col min="22" max="22" width="10.140625" style="8" bestFit="1" customWidth="1"/>
    <col min="23" max="23" width="14.5703125" style="8" bestFit="1" customWidth="1"/>
    <col min="24" max="24" width="22.140625" style="8" bestFit="1" customWidth="1"/>
    <col min="25" max="25" width="9.140625" style="8"/>
    <col min="26" max="26" width="7.5703125" style="8" bestFit="1" customWidth="1"/>
    <col min="27" max="27" width="7.85546875" style="8" bestFit="1" customWidth="1"/>
    <col min="28" max="28" width="16.28515625" style="8" bestFit="1" customWidth="1"/>
    <col min="29" max="29" width="9.5703125" style="8" bestFit="1" customWidth="1"/>
    <col min="30" max="30" width="5.5703125" style="8" bestFit="1" customWidth="1"/>
    <col min="31" max="31" width="13.85546875" style="8" bestFit="1" customWidth="1"/>
    <col min="32" max="16384" width="9.140625" style="8"/>
  </cols>
  <sheetData>
    <row r="1" spans="2:15">
      <c r="C1" s="99"/>
      <c r="D1" s="123" t="s">
        <v>130</v>
      </c>
      <c r="E1" s="123"/>
    </row>
    <row r="2" spans="2:15" s="13" customFormat="1">
      <c r="B2" s="3" t="s">
        <v>121</v>
      </c>
      <c r="C2" s="98" t="s">
        <v>122</v>
      </c>
      <c r="D2" s="103" t="s">
        <v>56</v>
      </c>
      <c r="E2" s="103" t="s">
        <v>57</v>
      </c>
      <c r="F2" s="15"/>
      <c r="H2" s="5"/>
      <c r="M2" s="15"/>
      <c r="N2" s="15"/>
      <c r="O2" s="15"/>
    </row>
    <row r="3" spans="2:15">
      <c r="B3" s="58" t="s">
        <v>159</v>
      </c>
      <c r="C3" s="94" t="s">
        <v>53</v>
      </c>
      <c r="D3" s="95">
        <v>5</v>
      </c>
      <c r="E3" s="95">
        <v>10</v>
      </c>
      <c r="H3" s="50"/>
      <c r="M3" s="50"/>
      <c r="N3" s="50"/>
    </row>
    <row r="4" spans="2:15">
      <c r="B4" s="58" t="s">
        <v>48</v>
      </c>
      <c r="C4" s="94" t="s">
        <v>54</v>
      </c>
      <c r="D4" s="95">
        <v>25</v>
      </c>
      <c r="E4" s="95">
        <v>5</v>
      </c>
      <c r="F4" s="104"/>
      <c r="G4" s="61"/>
      <c r="H4" s="50"/>
      <c r="I4" s="18"/>
      <c r="J4" s="18"/>
      <c r="K4" s="18"/>
      <c r="L4" s="62"/>
      <c r="M4" s="50"/>
      <c r="N4" s="50"/>
    </row>
    <row r="5" spans="2:15">
      <c r="B5" s="58" t="s">
        <v>50</v>
      </c>
      <c r="C5" s="94" t="s">
        <v>55</v>
      </c>
      <c r="D5" s="95">
        <v>20</v>
      </c>
      <c r="E5" s="95">
        <v>15</v>
      </c>
      <c r="F5" s="104"/>
      <c r="G5" s="61"/>
      <c r="H5" s="50"/>
      <c r="I5" s="18"/>
      <c r="J5" s="18"/>
      <c r="K5" s="18"/>
      <c r="L5" s="62"/>
      <c r="M5" s="50"/>
      <c r="N5" s="50"/>
    </row>
    <row r="6" spans="2:15">
      <c r="C6" s="99"/>
      <c r="D6" s="96" t="s">
        <v>131</v>
      </c>
      <c r="F6" s="104"/>
      <c r="G6" s="61"/>
      <c r="H6" s="50"/>
      <c r="I6" s="18"/>
      <c r="J6" s="18"/>
      <c r="K6" s="18"/>
      <c r="L6" s="62"/>
      <c r="M6" s="50"/>
      <c r="N6" s="50"/>
    </row>
    <row r="7" spans="2:15" ht="19.5">
      <c r="B7" s="17" t="s">
        <v>156</v>
      </c>
      <c r="C7" s="96" t="s">
        <v>110</v>
      </c>
      <c r="D7" s="95">
        <v>4</v>
      </c>
      <c r="G7" s="61"/>
      <c r="H7" s="50"/>
      <c r="I7" s="18"/>
      <c r="J7" s="18"/>
      <c r="K7" s="18"/>
      <c r="L7" s="62"/>
      <c r="M7" s="50"/>
      <c r="N7" s="50"/>
    </row>
    <row r="8" spans="2:15" ht="19.5">
      <c r="B8" s="17" t="s">
        <v>157</v>
      </c>
      <c r="C8" s="96" t="s">
        <v>108</v>
      </c>
      <c r="D8" s="95">
        <v>1.5</v>
      </c>
      <c r="G8" s="61"/>
      <c r="H8" s="50"/>
      <c r="I8" s="18"/>
      <c r="J8" s="18"/>
      <c r="K8" s="18"/>
      <c r="L8" s="62"/>
      <c r="M8" s="50"/>
      <c r="N8" s="50"/>
    </row>
    <row r="9" spans="2:15" ht="18.75">
      <c r="B9" s="4" t="s">
        <v>152</v>
      </c>
      <c r="C9" s="96" t="s">
        <v>132</v>
      </c>
      <c r="D9" s="109">
        <v>4.0999999999999996</v>
      </c>
      <c r="G9" s="61"/>
      <c r="H9" s="50"/>
      <c r="I9" s="18"/>
      <c r="J9" s="18"/>
      <c r="K9" s="18"/>
      <c r="L9" s="62"/>
      <c r="M9" s="50"/>
      <c r="N9" s="50"/>
    </row>
    <row r="10" spans="2:15" ht="17.25">
      <c r="B10" s="4" t="s">
        <v>94</v>
      </c>
      <c r="C10" s="98" t="s">
        <v>133</v>
      </c>
      <c r="D10" s="97">
        <v>8</v>
      </c>
      <c r="H10" s="50"/>
      <c r="I10" s="18"/>
      <c r="J10" s="18"/>
      <c r="K10" s="18"/>
      <c r="L10" s="62"/>
      <c r="M10" s="50"/>
      <c r="N10" s="50"/>
    </row>
    <row r="11" spans="2:15" s="21" customFormat="1" ht="18.75">
      <c r="B11" s="4" t="s">
        <v>153</v>
      </c>
      <c r="C11" s="105" t="s">
        <v>134</v>
      </c>
      <c r="D11" s="109">
        <v>6.7</v>
      </c>
      <c r="E11" s="24"/>
      <c r="F11" s="24"/>
      <c r="G11" s="24"/>
      <c r="H11" s="51"/>
      <c r="I11" s="90"/>
      <c r="J11" s="90"/>
      <c r="K11" s="90"/>
      <c r="L11" s="108"/>
      <c r="M11" s="51"/>
      <c r="N11" s="51"/>
      <c r="O11" s="24"/>
    </row>
    <row r="12" spans="2:15" s="21" customFormat="1" ht="17.25">
      <c r="B12" s="107" t="s">
        <v>94</v>
      </c>
      <c r="C12" s="98" t="s">
        <v>135</v>
      </c>
      <c r="D12" s="97">
        <v>4</v>
      </c>
      <c r="E12" s="24"/>
      <c r="F12" s="24"/>
      <c r="G12" s="24"/>
      <c r="H12" s="51"/>
      <c r="I12" s="90"/>
      <c r="J12" s="90"/>
      <c r="K12" s="90"/>
      <c r="L12" s="108"/>
      <c r="M12" s="51"/>
      <c r="N12" s="51"/>
      <c r="O12" s="24"/>
    </row>
    <row r="13" spans="2:15" s="21" customFormat="1" ht="18.75">
      <c r="B13" s="4" t="s">
        <v>154</v>
      </c>
      <c r="C13" s="105" t="s">
        <v>136</v>
      </c>
      <c r="D13" s="109">
        <v>3.3</v>
      </c>
      <c r="E13" s="24"/>
      <c r="F13" s="24"/>
      <c r="G13" s="24"/>
      <c r="H13" s="51"/>
      <c r="I13" s="90"/>
      <c r="J13" s="90"/>
      <c r="K13" s="90"/>
      <c r="L13" s="108"/>
      <c r="M13" s="51"/>
      <c r="N13" s="51"/>
      <c r="O13" s="24"/>
    </row>
    <row r="14" spans="2:15" s="21" customFormat="1" ht="17.25">
      <c r="B14" s="107" t="s">
        <v>94</v>
      </c>
      <c r="C14" s="98" t="s">
        <v>137</v>
      </c>
      <c r="D14" s="97">
        <v>12</v>
      </c>
      <c r="E14" s="24"/>
      <c r="F14" s="24"/>
      <c r="G14" s="24"/>
      <c r="H14" s="51"/>
      <c r="I14" s="90"/>
      <c r="J14" s="90"/>
      <c r="K14" s="90"/>
      <c r="L14" s="108"/>
      <c r="M14" s="51"/>
      <c r="N14" s="51"/>
      <c r="O14" s="24"/>
    </row>
    <row r="15" spans="2:15" s="21" customFormat="1">
      <c r="B15" s="107"/>
      <c r="C15" s="101"/>
      <c r="D15" s="76"/>
      <c r="E15" s="24"/>
      <c r="F15" s="24"/>
      <c r="G15" s="24"/>
      <c r="H15" s="51"/>
      <c r="I15" s="90"/>
      <c r="J15" s="90"/>
      <c r="K15" s="90"/>
      <c r="L15" s="108"/>
      <c r="M15" s="51"/>
      <c r="N15" s="51"/>
      <c r="O15" s="24"/>
    </row>
    <row r="16" spans="2:15">
      <c r="D16" s="124" t="s">
        <v>130</v>
      </c>
      <c r="E16" s="125"/>
      <c r="H16" s="50"/>
      <c r="I16" s="18"/>
      <c r="J16" s="18"/>
      <c r="K16" s="18"/>
      <c r="L16" s="62"/>
      <c r="M16" s="50"/>
      <c r="N16" s="50"/>
    </row>
    <row r="17" spans="2:14">
      <c r="B17" s="6" t="s">
        <v>111</v>
      </c>
      <c r="D17" s="5" t="s">
        <v>56</v>
      </c>
      <c r="E17" s="5" t="s">
        <v>57</v>
      </c>
      <c r="H17" s="50"/>
      <c r="I17" s="18"/>
      <c r="J17" s="18"/>
      <c r="K17" s="18"/>
      <c r="L17" s="62"/>
      <c r="M17" s="50"/>
      <c r="N17" s="50"/>
    </row>
    <row r="18" spans="2:14">
      <c r="B18" s="58" t="s">
        <v>127</v>
      </c>
      <c r="C18" s="59" t="s">
        <v>76</v>
      </c>
      <c r="D18" s="18">
        <f>F153</f>
        <v>15.973724532410285</v>
      </c>
      <c r="E18" s="18">
        <f>G153</f>
        <v>9.8374020748905053</v>
      </c>
      <c r="H18" s="50"/>
      <c r="I18" s="18"/>
      <c r="J18" s="18"/>
      <c r="K18" s="18"/>
      <c r="L18" s="62"/>
      <c r="M18" s="50"/>
      <c r="N18" s="50"/>
    </row>
    <row r="19" spans="2:14">
      <c r="D19" s="7" t="s">
        <v>131</v>
      </c>
      <c r="H19" s="61"/>
      <c r="I19" s="16"/>
      <c r="J19" s="16"/>
      <c r="K19" s="16"/>
      <c r="L19" s="63"/>
      <c r="M19" s="61"/>
      <c r="N19" s="61"/>
    </row>
    <row r="20" spans="2:14" ht="19.5">
      <c r="B20" s="17" t="s">
        <v>158</v>
      </c>
      <c r="C20" s="7" t="s">
        <v>117</v>
      </c>
      <c r="D20" s="50">
        <f>SUM(D7:D8)</f>
        <v>5.5</v>
      </c>
      <c r="H20" s="61"/>
      <c r="I20" s="16"/>
      <c r="J20" s="16"/>
      <c r="K20" s="16"/>
      <c r="L20" s="63"/>
      <c r="M20" s="61"/>
      <c r="N20" s="61"/>
    </row>
    <row r="21" spans="2:14">
      <c r="B21" s="4" t="s">
        <v>95</v>
      </c>
      <c r="C21" s="15" t="s">
        <v>89</v>
      </c>
      <c r="D21" s="18">
        <f>F$166</f>
        <v>10.240806005923893</v>
      </c>
      <c r="F21" s="100"/>
      <c r="L21" s="63"/>
      <c r="M21" s="61"/>
      <c r="N21" s="61"/>
    </row>
    <row r="22" spans="2:14">
      <c r="B22" s="4" t="s">
        <v>95</v>
      </c>
      <c r="C22" s="15" t="s">
        <v>90</v>
      </c>
      <c r="D22" s="18">
        <f>F$167</f>
        <v>6.5470078262714511</v>
      </c>
      <c r="L22" s="63"/>
      <c r="M22" s="61"/>
      <c r="N22" s="61"/>
    </row>
    <row r="23" spans="2:14">
      <c r="B23" s="4" t="s">
        <v>95</v>
      </c>
      <c r="C23" s="15" t="s">
        <v>88</v>
      </c>
      <c r="D23" s="18">
        <f>F$165</f>
        <v>10.974929074872112</v>
      </c>
      <c r="L23" s="63"/>
    </row>
    <row r="24" spans="2:14">
      <c r="B24" s="4" t="s">
        <v>95</v>
      </c>
      <c r="C24" s="7" t="s">
        <v>123</v>
      </c>
      <c r="D24" s="18">
        <f>SUM(D21:D23)</f>
        <v>27.762742907067455</v>
      </c>
      <c r="L24" s="63"/>
    </row>
    <row r="25" spans="2:14" ht="19.5">
      <c r="B25" s="17" t="s">
        <v>114</v>
      </c>
      <c r="C25" s="7" t="s">
        <v>115</v>
      </c>
      <c r="D25" s="37">
        <f>(D21*D9+D13*D23)</f>
        <v>78.204570571365934</v>
      </c>
      <c r="L25" s="63"/>
    </row>
    <row r="26" spans="2:14" ht="19.5">
      <c r="B26" s="17" t="s">
        <v>114</v>
      </c>
      <c r="C26" s="7" t="s">
        <v>116</v>
      </c>
      <c r="D26" s="37">
        <f>(D11*D22+D13*D23)</f>
        <v>80.082218383096688</v>
      </c>
      <c r="L26" s="63"/>
    </row>
    <row r="27" spans="2:14" ht="19.5">
      <c r="B27" s="17" t="s">
        <v>114</v>
      </c>
      <c r="C27" s="106" t="s">
        <v>155</v>
      </c>
      <c r="D27" s="49">
        <f>(D21*D10+D22*D12+D23*D14)/(D7+D8)</f>
        <v>43.602477863807692</v>
      </c>
      <c r="L27" s="63"/>
    </row>
    <row r="28" spans="2:14">
      <c r="B28" s="17" t="s">
        <v>112</v>
      </c>
      <c r="C28" s="7" t="s">
        <v>118</v>
      </c>
      <c r="D28" s="37">
        <f>D27*D20</f>
        <v>239.81362825094232</v>
      </c>
      <c r="L28" s="63"/>
    </row>
    <row r="29" spans="2:14">
      <c r="B29" s="17" t="s">
        <v>112</v>
      </c>
      <c r="C29" s="7" t="s">
        <v>113</v>
      </c>
      <c r="D29" s="37">
        <f>D25*D7+D26*D8</f>
        <v>432.94160986010877</v>
      </c>
    </row>
    <row r="30" spans="2:14">
      <c r="B30" s="17" t="s">
        <v>112</v>
      </c>
      <c r="C30" s="7" t="s">
        <v>128</v>
      </c>
      <c r="D30" s="37">
        <f>SUM(D28:D29)</f>
        <v>672.75523811105109</v>
      </c>
    </row>
    <row r="31" spans="2:14">
      <c r="B31" s="17"/>
      <c r="C31" s="6"/>
    </row>
    <row r="32" spans="2:14">
      <c r="B32" s="2"/>
      <c r="C32" s="1"/>
      <c r="D32" s="100"/>
    </row>
    <row r="34" spans="2:26">
      <c r="B34" s="3"/>
      <c r="C34" s="63"/>
    </row>
    <row r="35" spans="2:26">
      <c r="B35" s="3"/>
    </row>
    <row r="38" spans="2:26">
      <c r="F38" s="5"/>
    </row>
    <row r="47" spans="2:26">
      <c r="B47" s="7" t="s">
        <v>129</v>
      </c>
      <c r="G47" s="11"/>
      <c r="H47" s="11"/>
      <c r="I47" s="11"/>
      <c r="J47" s="11"/>
      <c r="K47" s="11"/>
      <c r="L47" s="11"/>
      <c r="Z47" s="9"/>
    </row>
    <row r="48" spans="2:26" ht="16.5" thickBot="1">
      <c r="G48" s="11"/>
      <c r="H48" s="11"/>
      <c r="I48" s="11"/>
      <c r="J48" s="11"/>
      <c r="K48" s="11"/>
      <c r="L48" s="11"/>
      <c r="M48" s="11"/>
      <c r="N48" s="11"/>
      <c r="P48" s="113"/>
      <c r="Z48" s="9"/>
    </row>
    <row r="49" spans="2:31" s="21" customFormat="1">
      <c r="B49" s="32" t="s">
        <v>61</v>
      </c>
      <c r="C49" s="77" t="s">
        <v>26</v>
      </c>
      <c r="D49" s="78" t="s">
        <v>30</v>
      </c>
      <c r="E49" s="78" t="s">
        <v>56</v>
      </c>
      <c r="F49" s="78" t="s">
        <v>57</v>
      </c>
      <c r="G49" s="78"/>
      <c r="H49" s="78" t="s">
        <v>42</v>
      </c>
      <c r="I49" s="78"/>
      <c r="J49" s="78" t="s">
        <v>44</v>
      </c>
      <c r="K49" s="78" t="s">
        <v>39</v>
      </c>
      <c r="L49" s="78" t="s">
        <v>52</v>
      </c>
      <c r="M49" s="78"/>
      <c r="N49" s="78" t="s">
        <v>39</v>
      </c>
      <c r="O49" s="78" t="s">
        <v>46</v>
      </c>
      <c r="P49" s="79"/>
      <c r="Z49" s="20"/>
    </row>
    <row r="50" spans="2:31" s="21" customFormat="1" ht="17.25">
      <c r="B50" s="32"/>
      <c r="C50" s="31" t="s">
        <v>24</v>
      </c>
      <c r="D50" s="39" t="s">
        <v>53</v>
      </c>
      <c r="E50" s="47">
        <f t="shared" ref="E50:F52" si="0">D3</f>
        <v>5</v>
      </c>
      <c r="F50" s="47">
        <f t="shared" si="0"/>
        <v>10</v>
      </c>
      <c r="G50" s="47" t="s">
        <v>27</v>
      </c>
      <c r="H50" s="39" t="s">
        <v>98</v>
      </c>
      <c r="I50" s="70">
        <f>D20</f>
        <v>5.5</v>
      </c>
      <c r="J50" s="47" t="s">
        <v>45</v>
      </c>
      <c r="K50" s="39" t="s">
        <v>139</v>
      </c>
      <c r="L50" s="111">
        <f>D13</f>
        <v>3.3</v>
      </c>
      <c r="M50" s="39" t="s">
        <v>47</v>
      </c>
      <c r="N50" s="39" t="s">
        <v>138</v>
      </c>
      <c r="O50" s="69">
        <f>D14</f>
        <v>12</v>
      </c>
      <c r="P50" s="80" t="s">
        <v>47</v>
      </c>
      <c r="R50" s="81"/>
      <c r="Z50" s="82"/>
      <c r="AA50" s="81"/>
      <c r="AB50" s="81"/>
      <c r="AC50" s="81"/>
      <c r="AD50" s="81"/>
      <c r="AE50" s="81"/>
    </row>
    <row r="51" spans="2:31" s="21" customFormat="1" ht="17.25">
      <c r="B51" s="32"/>
      <c r="C51" s="31" t="s">
        <v>37</v>
      </c>
      <c r="D51" s="39" t="s">
        <v>54</v>
      </c>
      <c r="E51" s="47">
        <f t="shared" si="0"/>
        <v>25</v>
      </c>
      <c r="F51" s="47">
        <f t="shared" si="0"/>
        <v>5</v>
      </c>
      <c r="G51" s="39" t="s">
        <v>48</v>
      </c>
      <c r="H51" s="39" t="s">
        <v>96</v>
      </c>
      <c r="I51" s="70">
        <f>D7</f>
        <v>4</v>
      </c>
      <c r="J51" s="39" t="s">
        <v>48</v>
      </c>
      <c r="K51" s="39" t="s">
        <v>140</v>
      </c>
      <c r="L51" s="111">
        <f>D9</f>
        <v>4.0999999999999996</v>
      </c>
      <c r="M51" s="39" t="s">
        <v>49</v>
      </c>
      <c r="N51" s="39" t="s">
        <v>142</v>
      </c>
      <c r="O51" s="69">
        <f>D10</f>
        <v>8</v>
      </c>
      <c r="P51" s="83" t="s">
        <v>49</v>
      </c>
      <c r="Z51" s="82"/>
      <c r="AA51" s="82"/>
      <c r="AB51" s="82"/>
      <c r="AC51" s="82"/>
      <c r="AD51" s="82"/>
      <c r="AE51" s="82"/>
    </row>
    <row r="52" spans="2:31" s="21" customFormat="1" ht="18" thickBot="1">
      <c r="B52" s="32"/>
      <c r="C52" s="84"/>
      <c r="D52" s="46" t="s">
        <v>55</v>
      </c>
      <c r="E52" s="48">
        <f t="shared" si="0"/>
        <v>20</v>
      </c>
      <c r="F52" s="48">
        <f t="shared" si="0"/>
        <v>15</v>
      </c>
      <c r="G52" s="46" t="s">
        <v>50</v>
      </c>
      <c r="H52" s="46" t="s">
        <v>97</v>
      </c>
      <c r="I52" s="110">
        <f>D8</f>
        <v>1.5</v>
      </c>
      <c r="J52" s="46" t="s">
        <v>50</v>
      </c>
      <c r="K52" s="46" t="s">
        <v>141</v>
      </c>
      <c r="L52" s="112">
        <f>D11</f>
        <v>6.7</v>
      </c>
      <c r="M52" s="46" t="s">
        <v>51</v>
      </c>
      <c r="N52" s="46" t="s">
        <v>143</v>
      </c>
      <c r="O52" s="72">
        <f>D12</f>
        <v>4</v>
      </c>
      <c r="P52" s="85" t="s">
        <v>51</v>
      </c>
      <c r="Z52" s="82"/>
      <c r="AA52" s="82"/>
      <c r="AB52" s="82"/>
      <c r="AC52" s="39"/>
      <c r="AD52" s="82"/>
      <c r="AE52" s="82"/>
    </row>
    <row r="53" spans="2:31" s="21" customFormat="1">
      <c r="B53" s="32"/>
      <c r="C53" s="24"/>
      <c r="D53" s="24"/>
      <c r="E53" s="24"/>
      <c r="F53" s="86"/>
      <c r="G53" s="23"/>
      <c r="H53" s="23"/>
      <c r="I53" s="23"/>
      <c r="J53" s="23"/>
      <c r="K53" s="23"/>
      <c r="L53" s="23"/>
      <c r="M53" s="23"/>
      <c r="N53" s="23"/>
      <c r="O53" s="23"/>
      <c r="P53" s="87"/>
      <c r="Z53" s="88"/>
      <c r="AA53" s="89"/>
      <c r="AB53" s="82"/>
      <c r="AC53" s="39"/>
      <c r="AD53" s="88"/>
      <c r="AE53" s="82"/>
    </row>
    <row r="54" spans="2:31" s="21" customFormat="1">
      <c r="B54" s="32" t="s">
        <v>62</v>
      </c>
      <c r="C54" s="24"/>
      <c r="D54" s="32" t="s">
        <v>28</v>
      </c>
      <c r="E54" s="90">
        <v>1E-3</v>
      </c>
      <c r="F54" s="86"/>
      <c r="G54" s="23"/>
      <c r="H54" s="23"/>
      <c r="I54" s="23"/>
      <c r="J54" s="23"/>
      <c r="K54" s="23"/>
      <c r="L54" s="24"/>
      <c r="M54" s="24"/>
      <c r="N54" s="24"/>
      <c r="O54" s="24"/>
      <c r="Z54" s="88"/>
      <c r="AA54" s="89"/>
      <c r="AB54" s="82"/>
      <c r="AC54" s="39"/>
      <c r="AD54" s="88"/>
      <c r="AE54" s="82"/>
    </row>
    <row r="55" spans="2:31" s="21" customFormat="1">
      <c r="B55" s="32"/>
      <c r="C55" s="24"/>
      <c r="D55" s="32" t="s">
        <v>19</v>
      </c>
      <c r="E55" s="90">
        <f>(1/2)*(E50*F51+E51*F52+E52*F50-E51*F50-E52*F51-E50*F52)</f>
        <v>87.5</v>
      </c>
      <c r="F55" s="90"/>
      <c r="G55" s="39"/>
      <c r="H55" s="39"/>
      <c r="I55" s="23"/>
      <c r="J55" s="23"/>
      <c r="K55" s="23"/>
      <c r="L55" s="24"/>
      <c r="M55" s="24"/>
      <c r="N55" s="24"/>
      <c r="O55" s="24"/>
      <c r="Z55" s="88"/>
      <c r="AA55" s="89"/>
      <c r="AB55" s="82"/>
      <c r="AC55" s="82"/>
      <c r="AD55" s="88"/>
      <c r="AE55" s="82"/>
    </row>
    <row r="56" spans="2:31" s="21" customFormat="1">
      <c r="B56" s="32"/>
      <c r="C56" s="24"/>
      <c r="D56" s="32" t="s">
        <v>20</v>
      </c>
      <c r="E56" s="32">
        <f>IF(ABS(E55) &lt; E54,1,0)</f>
        <v>0</v>
      </c>
      <c r="F56" s="90" t="s">
        <v>99</v>
      </c>
      <c r="G56" s="23"/>
      <c r="H56" s="47"/>
      <c r="I56" s="23"/>
      <c r="J56" s="23"/>
      <c r="K56" s="23"/>
      <c r="L56" s="24"/>
      <c r="M56" s="24"/>
      <c r="N56" s="24"/>
      <c r="O56" s="24"/>
      <c r="Z56" s="20"/>
      <c r="AA56" s="20"/>
      <c r="AB56" s="20"/>
      <c r="AC56" s="20"/>
      <c r="AD56" s="20"/>
      <c r="AE56" s="20"/>
    </row>
    <row r="57" spans="2:31" s="21" customFormat="1">
      <c r="B57" s="32"/>
      <c r="C57" s="24"/>
      <c r="D57" s="32" t="s">
        <v>21</v>
      </c>
      <c r="E57" s="32">
        <f>IF(E55&lt;0,1,0)</f>
        <v>0</v>
      </c>
      <c r="F57" s="90" t="s">
        <v>100</v>
      </c>
      <c r="G57" s="23"/>
      <c r="H57" s="47"/>
      <c r="I57" s="23"/>
      <c r="J57" s="23"/>
      <c r="K57" s="23"/>
      <c r="L57" s="24"/>
      <c r="M57" s="24"/>
      <c r="N57" s="24"/>
      <c r="O57" s="24"/>
      <c r="Z57" s="20"/>
    </row>
    <row r="58" spans="2:31" s="21" customFormat="1" ht="16.5" thickBot="1">
      <c r="B58" s="32"/>
      <c r="C58" s="24"/>
      <c r="D58" s="24"/>
      <c r="E58" s="86"/>
      <c r="F58" s="86"/>
      <c r="G58" s="23"/>
      <c r="H58" s="23"/>
      <c r="I58" s="23"/>
      <c r="J58" s="23"/>
      <c r="K58" s="23"/>
      <c r="L58" s="23"/>
      <c r="M58" s="23"/>
      <c r="N58" s="23"/>
      <c r="O58" s="24"/>
      <c r="Z58" s="20"/>
    </row>
    <row r="59" spans="2:31" s="21" customFormat="1">
      <c r="B59" s="32" t="s">
        <v>63</v>
      </c>
      <c r="C59" s="77" t="s">
        <v>25</v>
      </c>
      <c r="D59" s="78"/>
      <c r="E59" s="78" t="s">
        <v>56</v>
      </c>
      <c r="F59" s="78" t="s">
        <v>57</v>
      </c>
      <c r="G59" s="64"/>
      <c r="H59" s="64"/>
      <c r="I59" s="64"/>
      <c r="J59" s="64"/>
      <c r="K59" s="64"/>
      <c r="L59" s="78"/>
      <c r="M59" s="64"/>
      <c r="N59" s="78"/>
      <c r="O59" s="78"/>
      <c r="P59" s="91"/>
      <c r="Z59" s="20"/>
    </row>
    <row r="60" spans="2:31" s="21" customFormat="1">
      <c r="B60" s="32"/>
      <c r="C60" s="31" t="s">
        <v>24</v>
      </c>
      <c r="D60" s="39" t="s">
        <v>53</v>
      </c>
      <c r="E60" s="47">
        <f>E50</f>
        <v>5</v>
      </c>
      <c r="F60" s="47">
        <f>F50</f>
        <v>10</v>
      </c>
      <c r="G60" s="47" t="str">
        <f>G50</f>
        <v>TAKEOFF</v>
      </c>
      <c r="H60" s="39" t="s">
        <v>98</v>
      </c>
      <c r="I60" s="114">
        <f>I50</f>
        <v>5.5</v>
      </c>
      <c r="J60" s="47" t="str">
        <f>J50</f>
        <v>JUNCTION</v>
      </c>
      <c r="K60" s="39" t="s">
        <v>144</v>
      </c>
      <c r="L60" s="111">
        <f>L50</f>
        <v>3.3</v>
      </c>
      <c r="M60" s="47" t="str">
        <f>M50</f>
        <v>JUNCTION to TAKEOFF</v>
      </c>
      <c r="N60" s="39" t="s">
        <v>145</v>
      </c>
      <c r="O60" s="69">
        <f>O50</f>
        <v>12</v>
      </c>
      <c r="P60" s="92" t="str">
        <f>P50</f>
        <v>JUNCTION to TAKEOFF</v>
      </c>
      <c r="Z60" s="20"/>
    </row>
    <row r="61" spans="2:31" s="21" customFormat="1">
      <c r="B61" s="32"/>
      <c r="C61" s="31" t="s">
        <v>37</v>
      </c>
      <c r="D61" s="47" t="str">
        <f>IF(E57=1,D52,D51)</f>
        <v>A</v>
      </c>
      <c r="E61" s="47">
        <f>IF(E57=1,E52,E51)</f>
        <v>25</v>
      </c>
      <c r="F61" s="47">
        <f>IF(E57=1,F52,F51)</f>
        <v>5</v>
      </c>
      <c r="G61" s="47" t="str">
        <f>IF(E57=1,G52,G51)</f>
        <v>HCP A</v>
      </c>
      <c r="H61" s="47" t="str">
        <f>IF(E57=1,H52,H51)</f>
        <v>VA =</v>
      </c>
      <c r="I61" s="114">
        <f>IF(E57=1,I52,I51)</f>
        <v>4</v>
      </c>
      <c r="J61" s="47" t="str">
        <f>G61</f>
        <v>HCP A</v>
      </c>
      <c r="K61" s="47" t="str">
        <f>IF(E57=1,K52,K51)</f>
        <v>hAJ =</v>
      </c>
      <c r="L61" s="111">
        <f>IF(E57=1,L52,L51)</f>
        <v>4.0999999999999996</v>
      </c>
      <c r="M61" s="47" t="str">
        <f>IF(E57=1,M52,M51)</f>
        <v>HCP A to JUNCTION</v>
      </c>
      <c r="N61" s="47" t="str">
        <f>IF(E57=1,N52,N51)</f>
        <v>rAJ =</v>
      </c>
      <c r="O61" s="69">
        <f>IF(E57=1,O52,O51)</f>
        <v>8</v>
      </c>
      <c r="P61" s="92" t="str">
        <f>IF(E57=1,P52,P51)</f>
        <v>HCP A to JUNCTION</v>
      </c>
      <c r="Z61" s="20"/>
    </row>
    <row r="62" spans="2:31" s="21" customFormat="1" ht="16.5" thickBot="1">
      <c r="B62" s="32"/>
      <c r="C62" s="84"/>
      <c r="D62" s="48" t="str">
        <f>IF(E57=1,D51,D52)</f>
        <v>B</v>
      </c>
      <c r="E62" s="48">
        <f>IF(E57=1,E51,E52)</f>
        <v>20</v>
      </c>
      <c r="F62" s="48">
        <f>IF(E57=1,F51,F52)</f>
        <v>15</v>
      </c>
      <c r="G62" s="48" t="str">
        <f>IF(E57=1,G51,G52)</f>
        <v>HCP B</v>
      </c>
      <c r="H62" s="48" t="str">
        <f>IF(E57=1,H51,H52)</f>
        <v>VB =</v>
      </c>
      <c r="I62" s="115">
        <f>IF(E57=1,I51,I52)</f>
        <v>1.5</v>
      </c>
      <c r="J62" s="48" t="str">
        <f>G62</f>
        <v>HCP B</v>
      </c>
      <c r="K62" s="48" t="str">
        <f>IF(E57=1,K51,K52)</f>
        <v>hBJ =</v>
      </c>
      <c r="L62" s="112">
        <f>IF(E57=1,L51,L52)</f>
        <v>6.7</v>
      </c>
      <c r="M62" s="48" t="str">
        <f>IF(E57=1,M51,M52)</f>
        <v>HCP B to JUNCTION</v>
      </c>
      <c r="N62" s="48" t="str">
        <f>IF(E57=1,N51,N52)</f>
        <v>rBJ =</v>
      </c>
      <c r="O62" s="72">
        <f>IF(E57=1,O51,O52)</f>
        <v>4</v>
      </c>
      <c r="P62" s="93" t="str">
        <f>IF(E57=1,P51,P52)</f>
        <v>HCP B to JUNCTION</v>
      </c>
      <c r="Z62" s="20"/>
    </row>
    <row r="63" spans="2:31" s="21" customFormat="1">
      <c r="B63" s="32"/>
      <c r="D63" s="24"/>
      <c r="E63" s="86"/>
      <c r="F63" s="86"/>
      <c r="G63" s="23"/>
      <c r="H63" s="23"/>
      <c r="I63" s="23"/>
      <c r="J63" s="23"/>
      <c r="K63" s="23"/>
      <c r="L63" s="23"/>
      <c r="M63" s="23"/>
      <c r="N63" s="23"/>
      <c r="O63" s="24"/>
      <c r="Z63" s="20"/>
    </row>
    <row r="64" spans="2:31">
      <c r="B64" s="7" t="s">
        <v>64</v>
      </c>
      <c r="D64" s="7" t="s">
        <v>3</v>
      </c>
      <c r="E64" s="49">
        <f>SQRT((E61-E62)^2+(F61-F62)^2)</f>
        <v>11.180339887498949</v>
      </c>
      <c r="F64" s="7" t="s">
        <v>0</v>
      </c>
      <c r="G64" s="37">
        <f>(I60*L$60+O$60)</f>
        <v>30.15</v>
      </c>
      <c r="I64" s="7" t="s">
        <v>13</v>
      </c>
      <c r="J64" s="50">
        <f>G67*E$70+E67*G$70^(1/2)</f>
        <v>-82737.559961744832</v>
      </c>
      <c r="K64" s="15"/>
      <c r="Q64" s="21"/>
      <c r="R64" s="21"/>
      <c r="Z64" s="9"/>
    </row>
    <row r="65" spans="2:26">
      <c r="D65" s="7" t="s">
        <v>4</v>
      </c>
      <c r="E65" s="49">
        <f>SQRT((E62-E60)^2+(F62-F60)^2)</f>
        <v>15.811388300841896</v>
      </c>
      <c r="F65" s="7" t="s">
        <v>1</v>
      </c>
      <c r="G65" s="37">
        <f>(I61*L$61+O$61)</f>
        <v>24.4</v>
      </c>
      <c r="I65" s="7" t="s">
        <v>14</v>
      </c>
      <c r="J65" s="50">
        <f>G68*E$70+E68*G$70^(1/2)</f>
        <v>-95396.538388224464</v>
      </c>
      <c r="K65" s="15"/>
      <c r="R65" s="21"/>
      <c r="Z65" s="9"/>
    </row>
    <row r="66" spans="2:26">
      <c r="D66" s="7" t="s">
        <v>5</v>
      </c>
      <c r="E66" s="49">
        <f>SQRT((E60-E61)^2+(F60-F61)^2)</f>
        <v>20.615528128088304</v>
      </c>
      <c r="F66" s="7" t="s">
        <v>2</v>
      </c>
      <c r="G66" s="37">
        <f>(I62*L$62+O$62)</f>
        <v>14.05</v>
      </c>
      <c r="I66" s="7" t="s">
        <v>15</v>
      </c>
      <c r="J66" s="50">
        <f>G69*E$70+E69*G$70^(1/2)</f>
        <v>-105914.35818529587</v>
      </c>
      <c r="K66" s="15"/>
      <c r="R66" s="21"/>
      <c r="Z66" s="9"/>
    </row>
    <row r="67" spans="2:26">
      <c r="D67" s="7" t="s">
        <v>9</v>
      </c>
      <c r="E67" s="50">
        <f>E64^2-E65^2-E66^2</f>
        <v>-550</v>
      </c>
      <c r="F67" s="7" t="s">
        <v>6</v>
      </c>
      <c r="G67" s="50">
        <f>G64^2-G65^2-G66^2</f>
        <v>116.25999999999999</v>
      </c>
      <c r="R67" s="21"/>
      <c r="Z67" s="9"/>
    </row>
    <row r="68" spans="2:26">
      <c r="D68" s="7" t="s">
        <v>10</v>
      </c>
      <c r="E68" s="50">
        <f>E65^2-E64^2-E66^2</f>
        <v>-300.00000000000006</v>
      </c>
      <c r="F68" s="7" t="s">
        <v>7</v>
      </c>
      <c r="G68" s="50">
        <f>G65^2-G64^2-G66^2</f>
        <v>-511.06500000000005</v>
      </c>
      <c r="H68" s="11"/>
      <c r="I68" s="11"/>
      <c r="J68" s="11"/>
      <c r="K68" s="11"/>
      <c r="L68" s="23"/>
      <c r="M68" s="23"/>
      <c r="N68" s="23"/>
      <c r="O68" s="23"/>
      <c r="P68" s="23"/>
      <c r="Q68" s="24"/>
      <c r="R68" s="24"/>
      <c r="Z68" s="9"/>
    </row>
    <row r="69" spans="2:26">
      <c r="D69" s="7" t="s">
        <v>11</v>
      </c>
      <c r="E69" s="50">
        <f>E66^2-E64^2-E65^2</f>
        <v>50.000000000000057</v>
      </c>
      <c r="F69" s="7" t="s">
        <v>8</v>
      </c>
      <c r="G69" s="50">
        <f>G66^2-G64^2-G65^2</f>
        <v>-1306.9799999999998</v>
      </c>
      <c r="H69" s="11"/>
      <c r="I69" s="11"/>
      <c r="J69" s="26"/>
      <c r="K69" s="26"/>
      <c r="L69" s="26"/>
      <c r="M69" s="26"/>
      <c r="N69" s="26"/>
      <c r="O69" s="26"/>
      <c r="P69" s="25"/>
      <c r="Q69" s="25"/>
      <c r="R69" s="25"/>
      <c r="Z69" s="9"/>
    </row>
    <row r="70" spans="2:26">
      <c r="D70" s="32" t="s">
        <v>12</v>
      </c>
      <c r="E70" s="51">
        <f>SQRT((1/16)*(E67*E68+E68*E69+E67*E69))</f>
        <v>87.499999999999986</v>
      </c>
      <c r="F70" s="32" t="s">
        <v>43</v>
      </c>
      <c r="G70" s="51">
        <f>((1/16)*(G67*G68+G68*G69+G67*G69))</f>
        <v>28536.613875000003</v>
      </c>
      <c r="H70" s="11"/>
      <c r="I70" s="11"/>
      <c r="O70" s="26"/>
      <c r="P70" s="23"/>
      <c r="Q70" s="24"/>
      <c r="R70" s="24"/>
      <c r="Z70" s="9"/>
    </row>
    <row r="71" spans="2:26">
      <c r="H71" s="11"/>
      <c r="I71" s="55"/>
      <c r="O71" s="26"/>
      <c r="P71" s="23"/>
      <c r="Q71" s="24"/>
      <c r="R71" s="24"/>
      <c r="Z71" s="9"/>
    </row>
    <row r="72" spans="2:26">
      <c r="H72" s="11"/>
      <c r="I72" s="55"/>
      <c r="O72" s="26"/>
      <c r="P72" s="23"/>
      <c r="Q72" s="24"/>
      <c r="R72" s="24"/>
    </row>
    <row r="73" spans="2:26" ht="16.5" thickBot="1">
      <c r="C73" s="9"/>
      <c r="D73" s="11"/>
      <c r="E73" s="11"/>
      <c r="F73" s="11"/>
      <c r="G73" s="11"/>
      <c r="H73" s="11"/>
      <c r="I73" s="55"/>
      <c r="O73" s="26"/>
      <c r="P73" s="23"/>
      <c r="Q73" s="24"/>
      <c r="R73" s="24"/>
    </row>
    <row r="74" spans="2:26">
      <c r="B74" s="7" t="s">
        <v>65</v>
      </c>
      <c r="C74" s="119" t="s">
        <v>38</v>
      </c>
      <c r="D74" s="120"/>
      <c r="E74" s="120"/>
      <c r="F74" s="120"/>
      <c r="G74" s="121"/>
      <c r="H74" s="11"/>
      <c r="I74" s="55"/>
      <c r="J74" s="26"/>
      <c r="K74" s="26"/>
      <c r="L74" s="26"/>
      <c r="M74" s="12"/>
      <c r="N74" s="12"/>
      <c r="O74" s="26"/>
      <c r="P74" s="23"/>
      <c r="Q74" s="24"/>
      <c r="R74" s="24"/>
    </row>
    <row r="75" spans="2:26">
      <c r="C75" s="27" t="s">
        <v>20</v>
      </c>
      <c r="D75" s="15" t="s">
        <v>41</v>
      </c>
      <c r="E75" s="11"/>
      <c r="F75" s="11"/>
      <c r="G75" s="54"/>
      <c r="H75" s="11"/>
      <c r="I75" s="15"/>
      <c r="J75" s="26"/>
      <c r="K75" s="26"/>
      <c r="L75" s="26"/>
      <c r="M75" s="12"/>
      <c r="N75" s="12"/>
      <c r="O75" s="26"/>
      <c r="P75" s="20"/>
      <c r="Q75" s="21"/>
      <c r="R75" s="21"/>
    </row>
    <row r="76" spans="2:26">
      <c r="C76" s="28" t="s">
        <v>40</v>
      </c>
      <c r="D76" s="15">
        <f>IF(E56=1,1,0)</f>
        <v>0</v>
      </c>
      <c r="E76" s="11"/>
      <c r="F76" s="11"/>
      <c r="G76" s="54"/>
      <c r="H76" s="11"/>
      <c r="I76" s="15"/>
      <c r="J76" s="26"/>
      <c r="K76" s="26"/>
      <c r="L76" s="26"/>
      <c r="M76" s="12"/>
      <c r="N76" s="12"/>
      <c r="O76" s="26"/>
      <c r="P76" s="23"/>
      <c r="Q76" s="24"/>
      <c r="R76" s="24"/>
    </row>
    <row r="77" spans="2:26">
      <c r="B77" s="15"/>
      <c r="C77" s="29"/>
      <c r="D77" s="11"/>
      <c r="E77" s="11"/>
      <c r="F77" s="15"/>
      <c r="G77" s="54"/>
      <c r="H77" s="11"/>
      <c r="I77" s="15"/>
      <c r="J77" s="26"/>
      <c r="K77" s="26"/>
      <c r="L77" s="26"/>
      <c r="M77" s="12"/>
      <c r="N77" s="12"/>
      <c r="O77" s="26"/>
      <c r="P77" s="23"/>
      <c r="Q77" s="24"/>
      <c r="R77" s="24"/>
    </row>
    <row r="78" spans="2:26">
      <c r="B78" s="15"/>
      <c r="C78" s="28" t="s">
        <v>77</v>
      </c>
      <c r="D78" s="30">
        <f>SQRT((E50-E51)^2+(F50-F51)^2)</f>
        <v>20.615528128088304</v>
      </c>
      <c r="E78" s="15">
        <v>1</v>
      </c>
      <c r="F78" s="15" t="s">
        <v>55</v>
      </c>
      <c r="G78" s="54"/>
      <c r="H78" s="11"/>
      <c r="I78" s="15"/>
      <c r="J78" s="26"/>
      <c r="K78" s="26"/>
      <c r="L78" s="26"/>
      <c r="M78" s="12"/>
      <c r="N78" s="12"/>
      <c r="O78" s="26"/>
      <c r="P78" s="23"/>
      <c r="Q78" s="24"/>
      <c r="R78" s="24"/>
    </row>
    <row r="79" spans="2:26">
      <c r="B79" s="15"/>
      <c r="C79" s="28" t="s">
        <v>78</v>
      </c>
      <c r="D79" s="30">
        <f>SQRT((E50-E52)^2+(F50-F52)^2)</f>
        <v>15.811388300841896</v>
      </c>
      <c r="E79" s="15">
        <v>2</v>
      </c>
      <c r="F79" s="15" t="s">
        <v>54</v>
      </c>
      <c r="G79" s="54"/>
      <c r="H79" s="11"/>
      <c r="I79" s="15"/>
      <c r="J79" s="26"/>
      <c r="K79" s="26"/>
      <c r="L79" s="26"/>
      <c r="M79" s="12"/>
      <c r="N79" s="12"/>
      <c r="O79" s="26"/>
      <c r="P79" s="23"/>
      <c r="Q79" s="24"/>
      <c r="R79" s="24"/>
    </row>
    <row r="80" spans="2:26">
      <c r="B80" s="15"/>
      <c r="C80" s="28" t="s">
        <v>79</v>
      </c>
      <c r="D80" s="30">
        <f>SQRT((E51-E52)^2+(F51-F52)^2)</f>
        <v>11.180339887498949</v>
      </c>
      <c r="E80" s="15">
        <v>3</v>
      </c>
      <c r="F80" s="15" t="s">
        <v>53</v>
      </c>
      <c r="G80" s="54"/>
      <c r="H80" s="11"/>
      <c r="I80" s="11"/>
      <c r="J80" s="26"/>
      <c r="K80" s="26"/>
      <c r="L80" s="26"/>
      <c r="M80" s="12"/>
      <c r="N80" s="12"/>
      <c r="O80" s="26"/>
      <c r="P80" s="23"/>
      <c r="Q80" s="24"/>
      <c r="R80" s="24"/>
    </row>
    <row r="81" spans="2:18">
      <c r="C81" s="29"/>
      <c r="D81" s="11"/>
      <c r="E81" s="11"/>
      <c r="F81" s="55"/>
      <c r="G81" s="54"/>
      <c r="J81" s="26"/>
      <c r="K81" s="26"/>
      <c r="L81" s="26"/>
      <c r="M81" s="12"/>
      <c r="N81" s="12"/>
      <c r="O81" s="26"/>
      <c r="P81" s="24"/>
      <c r="Q81" s="24"/>
      <c r="R81" s="24"/>
    </row>
    <row r="82" spans="2:18">
      <c r="C82" s="28" t="s">
        <v>29</v>
      </c>
      <c r="D82" s="30">
        <f>MAX(D78:D80)</f>
        <v>20.615528128088304</v>
      </c>
      <c r="E82" s="15">
        <f>VLOOKUP(D82,D78:E80,2,FALSE)</f>
        <v>1</v>
      </c>
      <c r="F82" s="55"/>
      <c r="G82" s="54"/>
      <c r="J82" s="26"/>
      <c r="K82" s="26"/>
      <c r="L82" s="26"/>
      <c r="M82" s="12"/>
      <c r="N82" s="12"/>
      <c r="O82" s="26"/>
      <c r="P82" s="24"/>
      <c r="Q82" s="24"/>
      <c r="R82" s="24"/>
    </row>
    <row r="83" spans="2:18">
      <c r="C83" s="28" t="s">
        <v>69</v>
      </c>
      <c r="D83" s="15" t="s">
        <v>81</v>
      </c>
      <c r="E83" s="15" t="str">
        <f>CHOOSE(E82,F78,F79,F80)</f>
        <v>B</v>
      </c>
      <c r="F83" s="11"/>
      <c r="G83" s="54"/>
      <c r="J83" s="26"/>
      <c r="K83" s="26"/>
      <c r="L83" s="26"/>
      <c r="M83" s="12"/>
      <c r="N83" s="12"/>
      <c r="O83" s="26"/>
      <c r="P83" s="24"/>
      <c r="Q83" s="24"/>
      <c r="R83" s="24"/>
    </row>
    <row r="84" spans="2:18">
      <c r="C84" s="29"/>
      <c r="D84" s="11"/>
      <c r="E84" s="11"/>
      <c r="F84" s="11"/>
      <c r="G84" s="54"/>
      <c r="J84" s="26"/>
      <c r="K84" s="26"/>
      <c r="L84" s="26"/>
      <c r="M84" s="26"/>
      <c r="N84" s="26"/>
      <c r="O84" s="26"/>
      <c r="P84" s="24"/>
      <c r="Q84" s="24"/>
      <c r="R84" s="24"/>
    </row>
    <row r="85" spans="2:18">
      <c r="C85" s="29"/>
      <c r="D85" s="11"/>
      <c r="E85" s="15" t="s">
        <v>31</v>
      </c>
      <c r="F85" s="15" t="s">
        <v>32</v>
      </c>
      <c r="G85" s="54"/>
      <c r="J85" s="26"/>
      <c r="K85" s="26"/>
      <c r="L85" s="26"/>
      <c r="M85" s="26"/>
      <c r="N85" s="26"/>
      <c r="O85" s="26"/>
      <c r="P85" s="24"/>
      <c r="Q85" s="24"/>
      <c r="R85" s="24"/>
    </row>
    <row r="86" spans="2:18">
      <c r="C86" s="31" t="s">
        <v>69</v>
      </c>
      <c r="D86" s="15" t="str">
        <f>E83</f>
        <v>B</v>
      </c>
      <c r="E86" s="30">
        <f>IF(E83=D50,E50,IF(E83=D51,E51,IF(E83=D52,E52,"NA")))</f>
        <v>20</v>
      </c>
      <c r="F86" s="30">
        <f>IF(E83=D50,F50,IF(E83=D51,F51,IF(E83=D52,F52,"NA")))</f>
        <v>15</v>
      </c>
      <c r="G86" s="54"/>
      <c r="J86" s="26"/>
      <c r="K86" s="26"/>
      <c r="L86" s="26"/>
      <c r="M86" s="26"/>
      <c r="N86" s="26"/>
      <c r="O86" s="26"/>
      <c r="P86" s="24"/>
      <c r="Q86" s="24"/>
      <c r="R86" s="24"/>
    </row>
    <row r="87" spans="2:18">
      <c r="C87" s="29"/>
      <c r="D87" s="15" t="s">
        <v>53</v>
      </c>
      <c r="E87" s="30">
        <f t="shared" ref="E87:F89" si="1">E50</f>
        <v>5</v>
      </c>
      <c r="F87" s="30">
        <f t="shared" si="1"/>
        <v>10</v>
      </c>
      <c r="G87" s="54"/>
      <c r="J87" s="26"/>
      <c r="K87" s="26"/>
      <c r="L87" s="26"/>
      <c r="M87" s="26"/>
      <c r="N87" s="26"/>
      <c r="O87" s="26"/>
      <c r="P87" s="24"/>
      <c r="Q87" s="24"/>
      <c r="R87" s="24"/>
    </row>
    <row r="88" spans="2:18">
      <c r="C88" s="29"/>
      <c r="D88" s="15" t="s">
        <v>54</v>
      </c>
      <c r="E88" s="30">
        <f t="shared" si="1"/>
        <v>25</v>
      </c>
      <c r="F88" s="30">
        <f t="shared" si="1"/>
        <v>5</v>
      </c>
      <c r="G88" s="54"/>
      <c r="J88" s="26"/>
      <c r="K88" s="26"/>
      <c r="L88" s="26"/>
      <c r="M88" s="26"/>
      <c r="N88" s="26"/>
      <c r="O88" s="26"/>
      <c r="P88" s="24"/>
      <c r="Q88" s="24"/>
      <c r="R88" s="24"/>
    </row>
    <row r="89" spans="2:18">
      <c r="C89" s="29"/>
      <c r="D89" s="15" t="s">
        <v>55</v>
      </c>
      <c r="E89" s="30">
        <f t="shared" si="1"/>
        <v>20</v>
      </c>
      <c r="F89" s="30">
        <f t="shared" si="1"/>
        <v>15</v>
      </c>
      <c r="G89" s="54"/>
      <c r="L89" s="24"/>
      <c r="M89" s="24"/>
      <c r="N89" s="24"/>
      <c r="O89" s="24"/>
      <c r="P89" s="24"/>
      <c r="Q89" s="24"/>
      <c r="R89" s="24"/>
    </row>
    <row r="90" spans="2:18">
      <c r="C90" s="29"/>
      <c r="D90" s="15" t="s">
        <v>80</v>
      </c>
      <c r="E90" s="15" t="s">
        <v>74</v>
      </c>
      <c r="F90" s="11"/>
      <c r="G90" s="54"/>
      <c r="L90" s="24"/>
      <c r="M90" s="32"/>
      <c r="N90" s="32"/>
      <c r="O90" s="32"/>
      <c r="P90" s="21"/>
      <c r="Q90" s="21"/>
      <c r="R90" s="21"/>
    </row>
    <row r="91" spans="2:18">
      <c r="C91" s="28" t="s">
        <v>35</v>
      </c>
      <c r="D91" s="30">
        <f>SQRT((E87-E86)^2+(F87-F86)^2)</f>
        <v>15.811388300841896</v>
      </c>
      <c r="E91" s="33">
        <f>G64</f>
        <v>30.15</v>
      </c>
      <c r="F91" s="11"/>
      <c r="G91" s="54"/>
      <c r="L91" s="24"/>
      <c r="M91" s="32"/>
      <c r="N91" s="32"/>
      <c r="O91" s="32"/>
      <c r="P91" s="21"/>
      <c r="Q91" s="21"/>
      <c r="R91" s="21"/>
    </row>
    <row r="92" spans="2:18">
      <c r="C92" s="28" t="s">
        <v>33</v>
      </c>
      <c r="D92" s="30">
        <f>SQRT((E88-E86)^2+(F88-F86)^2)</f>
        <v>11.180339887498949</v>
      </c>
      <c r="E92" s="33">
        <f>G65</f>
        <v>24.4</v>
      </c>
      <c r="F92" s="11"/>
      <c r="G92" s="54"/>
      <c r="L92" s="24"/>
      <c r="M92" s="32"/>
      <c r="N92" s="32"/>
      <c r="O92" s="32"/>
      <c r="P92" s="21"/>
      <c r="Q92" s="21"/>
      <c r="R92" s="21"/>
    </row>
    <row r="93" spans="2:18">
      <c r="C93" s="28" t="s">
        <v>34</v>
      </c>
      <c r="D93" s="30">
        <f>SQRT((E89-E86)^2+(F89-F86)^2)</f>
        <v>0</v>
      </c>
      <c r="E93" s="33">
        <f>G66</f>
        <v>14.05</v>
      </c>
      <c r="F93" s="11"/>
      <c r="G93" s="54"/>
      <c r="L93" s="24"/>
      <c r="M93" s="32"/>
      <c r="N93" s="32"/>
      <c r="O93" s="32"/>
      <c r="P93" s="21"/>
      <c r="Q93" s="21"/>
      <c r="R93" s="21"/>
    </row>
    <row r="94" spans="2:18">
      <c r="C94" s="29"/>
      <c r="D94" s="11"/>
      <c r="E94" s="15"/>
      <c r="F94" s="11"/>
      <c r="G94" s="54"/>
      <c r="L94" s="24"/>
      <c r="M94" s="32"/>
      <c r="N94" s="32"/>
      <c r="O94" s="32"/>
      <c r="P94" s="21"/>
      <c r="Q94" s="21"/>
      <c r="R94" s="21"/>
    </row>
    <row r="95" spans="2:18" ht="16.5" thickBot="1">
      <c r="C95" s="34" t="s">
        <v>36</v>
      </c>
      <c r="D95" s="35">
        <f>SUMPRODUCT(D91:D93,E91:E93)</f>
        <v>749.51365052535743</v>
      </c>
      <c r="E95" s="56"/>
      <c r="F95" s="56"/>
      <c r="G95" s="57"/>
      <c r="L95" s="24"/>
      <c r="M95" s="32"/>
      <c r="N95" s="32"/>
      <c r="O95" s="32"/>
      <c r="P95" s="21"/>
      <c r="Q95" s="21"/>
      <c r="R95" s="21"/>
    </row>
    <row r="96" spans="2:18" ht="16.5" thickBot="1">
      <c r="B96" s="32"/>
      <c r="C96" s="21"/>
      <c r="D96" s="24"/>
      <c r="E96" s="23"/>
      <c r="F96" s="23"/>
      <c r="G96" s="23"/>
      <c r="H96" s="24"/>
      <c r="L96" s="24"/>
      <c r="M96" s="32"/>
      <c r="N96" s="32"/>
      <c r="O96" s="32"/>
      <c r="P96" s="21"/>
      <c r="Q96" s="21"/>
      <c r="R96" s="21"/>
    </row>
    <row r="97" spans="2:18">
      <c r="B97" s="32" t="s">
        <v>66</v>
      </c>
      <c r="C97" s="122" t="s">
        <v>83</v>
      </c>
      <c r="D97" s="120"/>
      <c r="E97" s="120"/>
      <c r="F97" s="120"/>
      <c r="G97" s="121"/>
      <c r="H97" s="24"/>
      <c r="L97" s="24"/>
      <c r="M97" s="24"/>
      <c r="N97" s="24"/>
      <c r="O97" s="24"/>
      <c r="P97" s="21"/>
      <c r="Q97" s="21"/>
      <c r="R97" s="21"/>
    </row>
    <row r="98" spans="2:18">
      <c r="B98" s="32"/>
      <c r="C98" s="31" t="s">
        <v>101</v>
      </c>
      <c r="D98" s="39" t="s">
        <v>41</v>
      </c>
      <c r="E98" s="23"/>
      <c r="F98" s="39" t="s">
        <v>102</v>
      </c>
      <c r="G98" s="65" t="s">
        <v>41</v>
      </c>
      <c r="H98" s="24"/>
      <c r="L98" s="24"/>
      <c r="M98" s="24"/>
      <c r="N98" s="24"/>
      <c r="O98" s="24"/>
      <c r="P98" s="21"/>
      <c r="Q98" s="21"/>
      <c r="R98" s="21"/>
    </row>
    <row r="99" spans="2:18">
      <c r="B99" s="32"/>
      <c r="C99" s="66" t="s">
        <v>40</v>
      </c>
      <c r="D99" s="39">
        <f>IF(E56=0,1,0)</f>
        <v>1</v>
      </c>
      <c r="E99" s="39" t="s">
        <v>82</v>
      </c>
      <c r="F99" s="39" t="s">
        <v>40</v>
      </c>
      <c r="G99" s="65">
        <f>IF(G70&lt;=E54,1,0)</f>
        <v>0</v>
      </c>
      <c r="H99" s="24"/>
      <c r="L99" s="24"/>
      <c r="M99" s="24"/>
      <c r="N99" s="24"/>
      <c r="O99" s="24"/>
      <c r="P99" s="21"/>
      <c r="Q99" s="21"/>
      <c r="R99" s="21"/>
    </row>
    <row r="100" spans="2:18">
      <c r="B100" s="32"/>
      <c r="C100" s="67"/>
      <c r="D100" s="23"/>
      <c r="E100" s="23"/>
      <c r="F100" s="23"/>
      <c r="G100" s="68"/>
      <c r="H100" s="24"/>
      <c r="L100" s="24"/>
      <c r="M100" s="24"/>
      <c r="N100" s="24"/>
      <c r="O100" s="24"/>
      <c r="P100" s="21"/>
      <c r="Q100" s="21"/>
      <c r="R100" s="21"/>
    </row>
    <row r="101" spans="2:18">
      <c r="B101" s="32"/>
      <c r="C101" s="67"/>
      <c r="D101" s="23"/>
      <c r="E101" s="23"/>
      <c r="F101" s="23"/>
      <c r="G101" s="68"/>
      <c r="H101" s="24"/>
      <c r="L101" s="24"/>
      <c r="M101" s="24"/>
      <c r="N101" s="24"/>
      <c r="O101" s="24"/>
      <c r="P101" s="21"/>
      <c r="Q101" s="21"/>
      <c r="R101" s="21"/>
    </row>
    <row r="102" spans="2:18">
      <c r="B102" s="32"/>
      <c r="C102" s="66" t="s">
        <v>22</v>
      </c>
      <c r="D102" s="69">
        <f>MAX(G64,G65,G66)</f>
        <v>30.15</v>
      </c>
      <c r="E102" s="39"/>
      <c r="F102" s="39"/>
      <c r="G102" s="65"/>
      <c r="H102" s="24"/>
      <c r="L102" s="24"/>
      <c r="M102" s="24"/>
      <c r="N102" s="24"/>
      <c r="O102" s="24"/>
      <c r="P102" s="21"/>
      <c r="Q102" s="21"/>
      <c r="R102" s="21"/>
    </row>
    <row r="103" spans="2:18">
      <c r="B103" s="32"/>
      <c r="C103" s="31" t="s">
        <v>16</v>
      </c>
      <c r="D103" s="39" t="s">
        <v>23</v>
      </c>
      <c r="E103" s="39" t="s">
        <v>17</v>
      </c>
      <c r="F103" s="39" t="s">
        <v>18</v>
      </c>
      <c r="G103" s="65" t="s">
        <v>16</v>
      </c>
      <c r="H103" s="24"/>
      <c r="L103" s="24"/>
      <c r="M103" s="24"/>
      <c r="N103" s="24"/>
      <c r="O103" s="24"/>
      <c r="P103" s="21"/>
      <c r="Q103" s="21"/>
      <c r="R103" s="21"/>
    </row>
    <row r="104" spans="2:18">
      <c r="B104" s="32"/>
      <c r="C104" s="31" t="str">
        <f>D60</f>
        <v>T</v>
      </c>
      <c r="D104" s="69">
        <f>G64</f>
        <v>30.15</v>
      </c>
      <c r="E104" s="47">
        <f t="shared" ref="E104:F106" si="2">E60</f>
        <v>5</v>
      </c>
      <c r="F104" s="47">
        <f t="shared" si="2"/>
        <v>10</v>
      </c>
      <c r="G104" s="65" t="str">
        <f>C104</f>
        <v>T</v>
      </c>
      <c r="H104" s="24"/>
      <c r="L104" s="24"/>
      <c r="M104" s="24"/>
      <c r="N104" s="24"/>
      <c r="O104" s="24"/>
      <c r="P104" s="21"/>
      <c r="Q104" s="21"/>
      <c r="R104" s="21"/>
    </row>
    <row r="105" spans="2:18">
      <c r="B105" s="32"/>
      <c r="C105" s="31" t="str">
        <f>D61</f>
        <v>A</v>
      </c>
      <c r="D105" s="69">
        <f>G65</f>
        <v>24.4</v>
      </c>
      <c r="E105" s="47">
        <f t="shared" si="2"/>
        <v>25</v>
      </c>
      <c r="F105" s="47">
        <f t="shared" si="2"/>
        <v>5</v>
      </c>
      <c r="G105" s="65" t="str">
        <f t="shared" ref="G105:G106" si="3">C105</f>
        <v>A</v>
      </c>
      <c r="H105" s="24"/>
    </row>
    <row r="106" spans="2:18">
      <c r="B106" s="32"/>
      <c r="C106" s="31" t="str">
        <f>D62</f>
        <v>B</v>
      </c>
      <c r="D106" s="69">
        <f>G66</f>
        <v>14.05</v>
      </c>
      <c r="E106" s="47">
        <f t="shared" si="2"/>
        <v>20</v>
      </c>
      <c r="F106" s="47">
        <f t="shared" si="2"/>
        <v>15</v>
      </c>
      <c r="G106" s="65" t="str">
        <f t="shared" si="3"/>
        <v>B</v>
      </c>
      <c r="H106" s="24"/>
    </row>
    <row r="107" spans="2:18">
      <c r="B107" s="32"/>
      <c r="C107" s="31"/>
      <c r="D107" s="69"/>
      <c r="E107" s="47"/>
      <c r="F107" s="47"/>
      <c r="G107" s="65"/>
      <c r="H107" s="24"/>
    </row>
    <row r="108" spans="2:18">
      <c r="B108" s="32"/>
      <c r="C108" s="67"/>
      <c r="D108" s="39" t="s">
        <v>16</v>
      </c>
      <c r="E108" s="39" t="s">
        <v>31</v>
      </c>
      <c r="F108" s="39" t="s">
        <v>32</v>
      </c>
      <c r="G108" s="68"/>
      <c r="H108" s="24"/>
    </row>
    <row r="109" spans="2:18">
      <c r="B109" s="32"/>
      <c r="C109" s="66" t="s">
        <v>58</v>
      </c>
      <c r="D109" s="39" t="str">
        <f>VLOOKUP(D102,D104:G106,4,FALSE)</f>
        <v>T</v>
      </c>
      <c r="E109" s="47">
        <f>VLOOKUP(D102,D104:F106,2,FALSE)</f>
        <v>5</v>
      </c>
      <c r="F109" s="47">
        <f>VLOOKUP(D102,D104:F106,3,FALSE)</f>
        <v>10</v>
      </c>
      <c r="G109" s="68"/>
      <c r="H109" s="24"/>
    </row>
    <row r="110" spans="2:18">
      <c r="B110" s="32"/>
      <c r="C110" s="31" t="s">
        <v>59</v>
      </c>
      <c r="D110" s="39" t="s">
        <v>60</v>
      </c>
      <c r="E110" s="23"/>
      <c r="F110" s="23"/>
      <c r="G110" s="68"/>
      <c r="H110" s="24"/>
      <c r="K110" s="7"/>
    </row>
    <row r="111" spans="2:18">
      <c r="B111" s="32"/>
      <c r="C111" s="31" t="str">
        <f>C104</f>
        <v>T</v>
      </c>
      <c r="D111" s="39" t="str">
        <f>D109</f>
        <v>T</v>
      </c>
      <c r="E111" s="70">
        <f>SQRT((E104-E$109)^2+(F104-F$109)^2)</f>
        <v>0</v>
      </c>
      <c r="F111" s="23"/>
      <c r="G111" s="68"/>
      <c r="H111" s="24"/>
      <c r="K111" s="60"/>
    </row>
    <row r="112" spans="2:18">
      <c r="B112" s="32"/>
      <c r="C112" s="31" t="str">
        <f t="shared" ref="C112:C113" si="4">C105</f>
        <v>A</v>
      </c>
      <c r="D112" s="39" t="str">
        <f>D109</f>
        <v>T</v>
      </c>
      <c r="E112" s="47">
        <f t="shared" ref="E112:E113" si="5">SQRT((E105-E$109)^2+(F105-F$109)^2)</f>
        <v>20.615528128088304</v>
      </c>
      <c r="F112" s="23"/>
      <c r="G112" s="68"/>
      <c r="H112" s="24"/>
      <c r="K112" s="60"/>
      <c r="L112" s="60"/>
    </row>
    <row r="113" spans="2:17">
      <c r="B113" s="32"/>
      <c r="C113" s="31" t="str">
        <f t="shared" si="4"/>
        <v>B</v>
      </c>
      <c r="D113" s="39" t="str">
        <f>D109</f>
        <v>T</v>
      </c>
      <c r="E113" s="47">
        <f t="shared" si="5"/>
        <v>15.811388300841896</v>
      </c>
      <c r="F113" s="23"/>
      <c r="G113" s="65"/>
      <c r="H113" s="24"/>
    </row>
    <row r="114" spans="2:17">
      <c r="B114" s="32"/>
      <c r="C114" s="67"/>
      <c r="D114" s="23"/>
      <c r="E114" s="23"/>
      <c r="F114" s="23"/>
      <c r="G114" s="68"/>
      <c r="H114" s="24"/>
    </row>
    <row r="115" spans="2:17" ht="16.5" thickBot="1">
      <c r="B115" s="32"/>
      <c r="C115" s="71" t="s">
        <v>36</v>
      </c>
      <c r="D115" s="72">
        <f>SUMPRODUCT(E111:E113,D104:D106)</f>
        <v>725.16889195218323</v>
      </c>
      <c r="E115" s="73"/>
      <c r="F115" s="73"/>
      <c r="G115" s="74"/>
      <c r="H115" s="24"/>
    </row>
    <row r="116" spans="2:17">
      <c r="B116" s="32"/>
      <c r="C116" s="75"/>
      <c r="D116" s="76"/>
      <c r="E116" s="24"/>
      <c r="F116" s="24"/>
      <c r="G116" s="24"/>
      <c r="H116" s="24"/>
    </row>
    <row r="117" spans="2:17" ht="16.5" thickBot="1">
      <c r="B117" s="15"/>
      <c r="C117" s="9"/>
      <c r="M117" s="7"/>
      <c r="N117" s="37"/>
    </row>
    <row r="118" spans="2:17">
      <c r="B118" s="15" t="s">
        <v>67</v>
      </c>
      <c r="C118" s="119" t="s">
        <v>84</v>
      </c>
      <c r="D118" s="120"/>
      <c r="E118" s="120"/>
      <c r="F118" s="120"/>
      <c r="G118" s="121"/>
      <c r="H118" s="11"/>
      <c r="I118" s="11"/>
      <c r="J118" s="11"/>
      <c r="K118" s="11"/>
      <c r="L118" s="11"/>
      <c r="M118" s="15"/>
      <c r="N118" s="37"/>
    </row>
    <row r="119" spans="2:17">
      <c r="B119" s="15"/>
      <c r="C119" s="28"/>
      <c r="D119" s="15" t="s">
        <v>75</v>
      </c>
      <c r="E119" s="15" t="s">
        <v>73</v>
      </c>
      <c r="F119" s="15" t="s">
        <v>71</v>
      </c>
      <c r="G119" s="36" t="s">
        <v>72</v>
      </c>
      <c r="I119" s="11"/>
      <c r="J119" s="11"/>
      <c r="K119" s="11"/>
      <c r="L119" s="11"/>
      <c r="M119" s="15"/>
      <c r="N119" s="37"/>
    </row>
    <row r="120" spans="2:17">
      <c r="C120" s="28"/>
      <c r="D120" s="15" t="s">
        <v>103</v>
      </c>
      <c r="E120" s="15">
        <f>IF(J64&gt;0,1,0)</f>
        <v>0</v>
      </c>
      <c r="F120" s="30">
        <f t="shared" ref="F120:G122" si="6">E60</f>
        <v>5</v>
      </c>
      <c r="G120" s="38">
        <f t="shared" si="6"/>
        <v>10</v>
      </c>
      <c r="I120" s="11"/>
      <c r="J120" s="11"/>
      <c r="K120" s="11"/>
      <c r="L120" s="11"/>
      <c r="M120" s="15"/>
      <c r="N120" s="37"/>
    </row>
    <row r="121" spans="2:17">
      <c r="C121" s="28"/>
      <c r="D121" s="15" t="s">
        <v>104</v>
      </c>
      <c r="E121" s="15">
        <f>IF(J65&gt;0,1,0)</f>
        <v>0</v>
      </c>
      <c r="F121" s="30">
        <f t="shared" si="6"/>
        <v>25</v>
      </c>
      <c r="G121" s="38">
        <f t="shared" si="6"/>
        <v>5</v>
      </c>
      <c r="I121" s="11"/>
      <c r="J121" s="11"/>
      <c r="K121" s="11"/>
      <c r="L121" s="11"/>
      <c r="M121" s="15"/>
      <c r="N121" s="37"/>
    </row>
    <row r="122" spans="2:17">
      <c r="C122" s="28"/>
      <c r="D122" s="15" t="s">
        <v>105</v>
      </c>
      <c r="E122" s="15">
        <f>IF(J66&gt;0,1,0)</f>
        <v>0</v>
      </c>
      <c r="F122" s="30">
        <f t="shared" si="6"/>
        <v>20</v>
      </c>
      <c r="G122" s="38">
        <f t="shared" si="6"/>
        <v>15</v>
      </c>
      <c r="I122" s="11"/>
      <c r="J122" s="11"/>
      <c r="K122" s="11"/>
      <c r="L122" s="11"/>
      <c r="M122" s="15"/>
      <c r="N122" s="37"/>
    </row>
    <row r="123" spans="2:17">
      <c r="C123" s="28"/>
      <c r="D123" s="39" t="s">
        <v>70</v>
      </c>
      <c r="E123" s="15">
        <f>IF(AND(J64&lt;0,J65&lt;0,J66&lt;0),1,0)</f>
        <v>1</v>
      </c>
      <c r="F123" s="30">
        <f>((1/$J64)*E60+(1/$J65)*E61+(1/$J66)*E62)/((1/$J64)+(1/$J65)+(1/$J66))</f>
        <v>15.973724532410285</v>
      </c>
      <c r="G123" s="38">
        <f>((1/$J64)*F60+(1/$J65)*F61+(1/$J66)*F62)/((1/$J64)+(1/$J65)+(1/$J66))</f>
        <v>9.8374020748905053</v>
      </c>
      <c r="I123" s="11"/>
      <c r="J123" s="11"/>
      <c r="K123" s="11"/>
      <c r="L123" s="11"/>
      <c r="M123" s="15"/>
      <c r="N123" s="37"/>
      <c r="P123" s="17"/>
      <c r="Q123" s="40"/>
    </row>
    <row r="124" spans="2:17">
      <c r="C124" s="28"/>
      <c r="D124" s="11"/>
      <c r="E124" s="11"/>
      <c r="F124" s="11"/>
      <c r="G124" s="54"/>
      <c r="H124" s="11"/>
      <c r="I124" s="11"/>
      <c r="J124" s="11"/>
      <c r="K124" s="11"/>
      <c r="L124" s="11"/>
      <c r="M124" s="15"/>
      <c r="N124" s="37"/>
      <c r="P124" s="17"/>
      <c r="Q124" s="40"/>
    </row>
    <row r="125" spans="2:17">
      <c r="C125" s="28"/>
      <c r="D125" s="11"/>
      <c r="E125" s="11"/>
      <c r="F125" s="15" t="s">
        <v>31</v>
      </c>
      <c r="G125" s="36" t="s">
        <v>32</v>
      </c>
      <c r="I125" s="11"/>
      <c r="J125" s="11"/>
      <c r="K125" s="11"/>
      <c r="L125" s="11"/>
      <c r="M125" s="15"/>
      <c r="N125" s="37"/>
      <c r="P125" s="17"/>
      <c r="Q125" s="40"/>
    </row>
    <row r="126" spans="2:17">
      <c r="C126" s="28"/>
      <c r="D126" s="39" t="s">
        <v>69</v>
      </c>
      <c r="E126" s="15" t="str">
        <f>IF(E120=1,D60,IF(E121=1,D61,IF(E122=1,D62,"J")))</f>
        <v>J</v>
      </c>
      <c r="F126" s="30">
        <f>SUMPRODUCT(E120:E123,F120:F123)</f>
        <v>15.973724532410285</v>
      </c>
      <c r="G126" s="38">
        <f>SUMPRODUCT(E120:E123,G120:G123)</f>
        <v>9.8374020748905053</v>
      </c>
      <c r="H126" s="15"/>
      <c r="I126" s="11"/>
      <c r="J126" s="11"/>
      <c r="K126" s="11"/>
      <c r="L126" s="11"/>
      <c r="M126" s="15"/>
      <c r="N126" s="37"/>
    </row>
    <row r="127" spans="2:17">
      <c r="C127" s="28"/>
      <c r="D127" s="11"/>
      <c r="E127" s="15" t="s">
        <v>53</v>
      </c>
      <c r="F127" s="30">
        <f>E60</f>
        <v>5</v>
      </c>
      <c r="G127" s="38">
        <f>F60</f>
        <v>10</v>
      </c>
      <c r="H127" s="15"/>
      <c r="I127" s="11"/>
      <c r="J127" s="11"/>
      <c r="K127" s="11"/>
      <c r="L127" s="11"/>
      <c r="M127" s="15"/>
      <c r="N127" s="37"/>
      <c r="P127" s="17"/>
      <c r="Q127" s="22"/>
    </row>
    <row r="128" spans="2:17">
      <c r="C128" s="28"/>
      <c r="D128" s="11"/>
      <c r="E128" s="15" t="s">
        <v>54</v>
      </c>
      <c r="F128" s="30">
        <f>IF(D61=E128,E61,E62)</f>
        <v>25</v>
      </c>
      <c r="G128" s="38">
        <f>IF(D61=E128,F61,F62)</f>
        <v>5</v>
      </c>
      <c r="H128" s="15"/>
      <c r="I128" s="11"/>
      <c r="J128" s="11"/>
      <c r="K128" s="11"/>
      <c r="L128" s="11"/>
      <c r="M128" s="15"/>
      <c r="N128" s="37"/>
    </row>
    <row r="129" spans="3:19">
      <c r="C129" s="28"/>
      <c r="D129" s="11"/>
      <c r="E129" s="15" t="s">
        <v>55</v>
      </c>
      <c r="F129" s="30">
        <f>IF(D62=E129,E62,E61)</f>
        <v>20</v>
      </c>
      <c r="G129" s="38">
        <f>IF(D62=E129,F62,F61)</f>
        <v>15</v>
      </c>
      <c r="H129" s="15"/>
      <c r="I129" s="11"/>
      <c r="J129" s="11"/>
      <c r="K129" s="11"/>
      <c r="L129" s="11"/>
      <c r="M129" s="15"/>
      <c r="N129" s="37"/>
    </row>
    <row r="130" spans="3:19">
      <c r="C130" s="28"/>
      <c r="D130" s="11"/>
      <c r="E130" s="11"/>
      <c r="F130" s="11"/>
      <c r="G130" s="54"/>
      <c r="H130" s="11"/>
      <c r="I130" s="11"/>
      <c r="J130" s="11"/>
      <c r="K130" s="11"/>
      <c r="L130" s="11"/>
      <c r="M130" s="15"/>
      <c r="N130" s="37"/>
    </row>
    <row r="131" spans="3:19">
      <c r="C131" s="28"/>
      <c r="D131" s="11"/>
      <c r="E131" s="11"/>
      <c r="F131" s="15" t="s">
        <v>74</v>
      </c>
      <c r="G131" s="54"/>
      <c r="H131" s="11"/>
      <c r="I131" s="11"/>
      <c r="J131" s="11"/>
      <c r="K131" s="11"/>
      <c r="L131" s="11"/>
      <c r="M131" s="15"/>
      <c r="N131" s="37"/>
    </row>
    <row r="132" spans="3:19">
      <c r="C132" s="28"/>
      <c r="D132" s="15" t="s">
        <v>33</v>
      </c>
      <c r="E132" s="30">
        <f>SQRT((F128-F126)^2+(G128-G126)^2)</f>
        <v>10.240806005923893</v>
      </c>
      <c r="F132" s="33">
        <f>IF(D61="A",G65,G66)</f>
        <v>24.4</v>
      </c>
      <c r="G132" s="54"/>
      <c r="M132" s="7"/>
      <c r="N132" s="37"/>
    </row>
    <row r="133" spans="3:19">
      <c r="C133" s="28"/>
      <c r="D133" s="15" t="s">
        <v>34</v>
      </c>
      <c r="E133" s="30">
        <f>SQRT((F129-F126)^2+(G129-G126)^2)</f>
        <v>6.5470078262714511</v>
      </c>
      <c r="F133" s="33">
        <f>IF(D62="B",G66,G65)</f>
        <v>14.05</v>
      </c>
      <c r="G133" s="54"/>
      <c r="M133" s="7"/>
      <c r="N133" s="37"/>
    </row>
    <row r="134" spans="3:19">
      <c r="C134" s="28"/>
      <c r="D134" s="15" t="s">
        <v>35</v>
      </c>
      <c r="E134" s="30">
        <f>SQRT((F127-F126)^2+(G127-G126)^2)</f>
        <v>10.974929074872112</v>
      </c>
      <c r="F134" s="33">
        <f>G64</f>
        <v>30.15</v>
      </c>
      <c r="G134" s="54"/>
      <c r="M134" s="7"/>
      <c r="N134" s="37"/>
    </row>
    <row r="135" spans="3:19">
      <c r="C135" s="29"/>
      <c r="D135" s="11"/>
      <c r="E135" s="15"/>
      <c r="F135" s="15"/>
      <c r="G135" s="54"/>
      <c r="M135" s="7"/>
      <c r="N135" s="37"/>
    </row>
    <row r="136" spans="3:19">
      <c r="C136" s="29"/>
      <c r="D136" s="15" t="s">
        <v>36</v>
      </c>
      <c r="E136" s="33">
        <f>SUMPRODUCT(E132:E134,F132:F134)</f>
        <v>672.75523811105109</v>
      </c>
      <c r="F136" s="15"/>
      <c r="G136" s="54"/>
    </row>
    <row r="137" spans="3:19">
      <c r="C137" s="29"/>
      <c r="D137" s="11"/>
      <c r="E137" s="11"/>
      <c r="F137" s="15" t="s">
        <v>71</v>
      </c>
      <c r="G137" s="36" t="s">
        <v>72</v>
      </c>
    </row>
    <row r="138" spans="3:19">
      <c r="C138" s="29"/>
      <c r="D138" s="11"/>
      <c r="E138" s="15" t="s">
        <v>76</v>
      </c>
      <c r="F138" s="30">
        <f>F126</f>
        <v>15.973724532410285</v>
      </c>
      <c r="G138" s="38">
        <f>G126</f>
        <v>9.8374020748905053</v>
      </c>
    </row>
    <row r="139" spans="3:19">
      <c r="C139" s="29"/>
      <c r="D139" s="11"/>
      <c r="E139" s="15" t="s">
        <v>53</v>
      </c>
      <c r="F139" s="30">
        <f>F127</f>
        <v>5</v>
      </c>
      <c r="G139" s="38">
        <f>G127</f>
        <v>10</v>
      </c>
      <c r="S139" s="7"/>
    </row>
    <row r="140" spans="3:19">
      <c r="C140" s="29"/>
      <c r="D140" s="11"/>
      <c r="E140" s="15"/>
      <c r="F140" s="15"/>
      <c r="G140" s="36"/>
    </row>
    <row r="141" spans="3:19">
      <c r="C141" s="29"/>
      <c r="D141" s="11"/>
      <c r="E141" s="15" t="s">
        <v>54</v>
      </c>
      <c r="F141" s="30">
        <f>F128</f>
        <v>25</v>
      </c>
      <c r="G141" s="38">
        <f>G128</f>
        <v>5</v>
      </c>
      <c r="O141" s="7"/>
    </row>
    <row r="142" spans="3:19">
      <c r="C142" s="29"/>
      <c r="D142" s="11"/>
      <c r="E142" s="15" t="s">
        <v>76</v>
      </c>
      <c r="F142" s="30">
        <f>F126</f>
        <v>15.973724532410285</v>
      </c>
      <c r="G142" s="38">
        <f>G126</f>
        <v>9.8374020748905053</v>
      </c>
      <c r="O142" s="7"/>
    </row>
    <row r="143" spans="3:19">
      <c r="C143" s="29"/>
      <c r="D143" s="11"/>
      <c r="E143" s="15"/>
      <c r="F143" s="15"/>
      <c r="G143" s="36"/>
      <c r="O143" s="7"/>
    </row>
    <row r="144" spans="3:19">
      <c r="C144" s="29"/>
      <c r="D144" s="11"/>
      <c r="E144" s="15" t="s">
        <v>55</v>
      </c>
      <c r="F144" s="30">
        <f>F129</f>
        <v>20</v>
      </c>
      <c r="G144" s="38">
        <f>G129</f>
        <v>15</v>
      </c>
      <c r="O144" s="7"/>
    </row>
    <row r="145" spans="2:15" ht="16.5" thickBot="1">
      <c r="C145" s="14"/>
      <c r="D145" s="56"/>
      <c r="E145" s="41" t="s">
        <v>76</v>
      </c>
      <c r="F145" s="42">
        <f>F126</f>
        <v>15.973724532410285</v>
      </c>
      <c r="G145" s="43">
        <f>G126</f>
        <v>9.8374020748905053</v>
      </c>
      <c r="O145" s="7"/>
    </row>
    <row r="148" spans="2:15" ht="16.5" thickBot="1"/>
    <row r="149" spans="2:15">
      <c r="B149" s="7" t="s">
        <v>68</v>
      </c>
      <c r="C149" s="44"/>
      <c r="D149" s="52"/>
      <c r="E149" s="52"/>
      <c r="F149" s="45" t="s">
        <v>45</v>
      </c>
      <c r="G149" s="53"/>
    </row>
    <row r="150" spans="2:15">
      <c r="C150" s="10" t="s">
        <v>85</v>
      </c>
      <c r="D150" s="15" t="s">
        <v>87</v>
      </c>
      <c r="E150" s="15" t="s">
        <v>74</v>
      </c>
      <c r="F150" s="15" t="s">
        <v>71</v>
      </c>
      <c r="G150" s="36" t="s">
        <v>72</v>
      </c>
    </row>
    <row r="151" spans="2:15">
      <c r="C151" s="10" t="s">
        <v>86</v>
      </c>
      <c r="D151" s="15">
        <f>IF(D76 = 1,1,0)</f>
        <v>0</v>
      </c>
      <c r="E151" s="33" t="str">
        <f>IF(D151=1,D95,"NA")</f>
        <v>NA</v>
      </c>
      <c r="F151" s="30" t="str">
        <f>IF(D151=1,E86,"NA")</f>
        <v>NA</v>
      </c>
      <c r="G151" s="38" t="str">
        <f>IF(D151=1,F86,"NA")</f>
        <v>NA</v>
      </c>
    </row>
    <row r="152" spans="2:15">
      <c r="C152" s="10" t="s">
        <v>106</v>
      </c>
      <c r="D152" s="15">
        <f>IF(AND(D99=1,G99=1),1,0)</f>
        <v>0</v>
      </c>
      <c r="E152" s="33" t="str">
        <f>IF(D152=1,D115,"NA")</f>
        <v>NA</v>
      </c>
      <c r="F152" s="30" t="str">
        <f>IF(D152=1,E109,"NA")</f>
        <v>NA</v>
      </c>
      <c r="G152" s="38" t="str">
        <f>IF(D152=1,F109,"NA")</f>
        <v>NA</v>
      </c>
      <c r="I152" s="16"/>
    </row>
    <row r="153" spans="2:15">
      <c r="C153" s="10" t="s">
        <v>107</v>
      </c>
      <c r="D153" s="15">
        <f>IF(AND(D99=1,G99=0),1,0)</f>
        <v>1</v>
      </c>
      <c r="E153" s="33">
        <f>IF(D153=1,E136,"NA")</f>
        <v>672.75523811105109</v>
      </c>
      <c r="F153" s="30">
        <f>IF(D153=1,F126,"NA")</f>
        <v>15.973724532410285</v>
      </c>
      <c r="G153" s="38">
        <f>IF(D153=1,G126,"NA")</f>
        <v>9.8374020748905053</v>
      </c>
    </row>
    <row r="154" spans="2:15">
      <c r="C154" s="29"/>
      <c r="D154" s="11"/>
      <c r="E154" s="11"/>
      <c r="F154" s="11"/>
      <c r="G154" s="54"/>
    </row>
    <row r="155" spans="2:15">
      <c r="C155" s="29"/>
      <c r="D155" s="11"/>
      <c r="E155" s="15"/>
      <c r="F155" s="15" t="s">
        <v>71</v>
      </c>
      <c r="G155" s="36" t="s">
        <v>72</v>
      </c>
    </row>
    <row r="156" spans="2:15">
      <c r="C156" s="29"/>
      <c r="D156" s="11"/>
      <c r="E156" s="15" t="s">
        <v>76</v>
      </c>
      <c r="F156" s="30">
        <f>VLOOKUP(1,D151:G153,3,FALSE)</f>
        <v>15.973724532410285</v>
      </c>
      <c r="G156" s="38">
        <f>VLOOKUP(1,D151:G153,4,FALSE)</f>
        <v>9.8374020748905053</v>
      </c>
    </row>
    <row r="157" spans="2:15">
      <c r="C157" s="29"/>
      <c r="D157" s="11"/>
      <c r="E157" s="15" t="s">
        <v>53</v>
      </c>
      <c r="F157" s="30">
        <f>E60</f>
        <v>5</v>
      </c>
      <c r="G157" s="38">
        <f>F60</f>
        <v>10</v>
      </c>
    </row>
    <row r="158" spans="2:15">
      <c r="C158" s="29"/>
      <c r="D158" s="11"/>
      <c r="E158" s="15"/>
      <c r="F158" s="30"/>
      <c r="G158" s="38"/>
    </row>
    <row r="159" spans="2:15">
      <c r="C159" s="29"/>
      <c r="D159" s="11"/>
      <c r="E159" s="15" t="s">
        <v>54</v>
      </c>
      <c r="F159" s="30">
        <f>E61</f>
        <v>25</v>
      </c>
      <c r="G159" s="38">
        <f>F61</f>
        <v>5</v>
      </c>
    </row>
    <row r="160" spans="2:15">
      <c r="C160" s="29"/>
      <c r="D160" s="11"/>
      <c r="E160" s="15" t="s">
        <v>76</v>
      </c>
      <c r="F160" s="30">
        <f>VLOOKUP(1,D151:G153,3,FALSE)</f>
        <v>15.973724532410285</v>
      </c>
      <c r="G160" s="38">
        <f>VLOOKUP(1,D151:G153,4,FALSE)</f>
        <v>9.8374020748905053</v>
      </c>
    </row>
    <row r="161" spans="3:10">
      <c r="C161" s="29"/>
      <c r="D161" s="11"/>
      <c r="E161" s="15"/>
      <c r="F161" s="30"/>
      <c r="G161" s="38"/>
    </row>
    <row r="162" spans="3:10">
      <c r="C162" s="29"/>
      <c r="D162" s="11"/>
      <c r="E162" s="15" t="s">
        <v>55</v>
      </c>
      <c r="F162" s="30">
        <f>E62</f>
        <v>20</v>
      </c>
      <c r="G162" s="38">
        <f>F62</f>
        <v>15</v>
      </c>
    </row>
    <row r="163" spans="3:10">
      <c r="C163" s="29"/>
      <c r="D163" s="11"/>
      <c r="E163" s="15" t="s">
        <v>76</v>
      </c>
      <c r="F163" s="30">
        <f>VLOOKUP(1,D151:G153,3,FALSE)</f>
        <v>15.973724532410285</v>
      </c>
      <c r="G163" s="38">
        <f>VLOOKUP(1,D151:G153,4,FALSE)</f>
        <v>9.8374020748905053</v>
      </c>
    </row>
    <row r="164" spans="3:10">
      <c r="C164" s="29"/>
      <c r="D164" s="11"/>
      <c r="E164" s="11"/>
      <c r="F164" s="11"/>
      <c r="G164" s="54"/>
    </row>
    <row r="165" spans="3:10">
      <c r="C165" s="29"/>
      <c r="D165" s="11"/>
      <c r="E165" s="39" t="s">
        <v>88</v>
      </c>
      <c r="F165" s="47">
        <f>SQRT((F156-F157)^2+(G156-G157)^2)</f>
        <v>10.974929074872112</v>
      </c>
      <c r="G165" s="54"/>
      <c r="J165" s="16"/>
    </row>
    <row r="166" spans="3:10">
      <c r="C166" s="29"/>
      <c r="D166" s="11"/>
      <c r="E166" s="39" t="s">
        <v>89</v>
      </c>
      <c r="F166" s="47">
        <f>IF(E57=0,SQRT((F159-F160)^2+(G159-G160)^2),SQRT((F162-F163)^2+(G162-G163)^2))</f>
        <v>10.240806005923893</v>
      </c>
      <c r="G166" s="54"/>
      <c r="J166" s="16"/>
    </row>
    <row r="167" spans="3:10" ht="16.5" thickBot="1">
      <c r="C167" s="14"/>
      <c r="D167" s="56"/>
      <c r="E167" s="46" t="s">
        <v>90</v>
      </c>
      <c r="F167" s="48">
        <f>IF(E57=0,SQRT((F162-F163)^2+(G162-G163)^2),SQRT((F160-F159)^2+(G160-G159)^2))</f>
        <v>6.5470078262714511</v>
      </c>
      <c r="G167" s="57"/>
      <c r="J167" s="16"/>
    </row>
  </sheetData>
  <mergeCells count="5">
    <mergeCell ref="C74:G74"/>
    <mergeCell ref="C97:G97"/>
    <mergeCell ref="C118:G118"/>
    <mergeCell ref="D1:E1"/>
    <mergeCell ref="D16:E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1"/>
  <sheetViews>
    <sheetView workbookViewId="0">
      <selection activeCell="M22" sqref="M22"/>
    </sheetView>
  </sheetViews>
  <sheetFormatPr defaultRowHeight="15"/>
  <cols>
    <col min="2" max="2" width="43.42578125" bestFit="1" customWidth="1"/>
    <col min="3" max="3" width="11.5703125" style="116" bestFit="1" customWidth="1"/>
    <col min="4" max="4" width="13.85546875" style="116" bestFit="1" customWidth="1"/>
    <col min="5" max="5" width="12" style="116" bestFit="1" customWidth="1"/>
  </cols>
  <sheetData>
    <row r="2" spans="2:5">
      <c r="D2" s="126" t="s">
        <v>130</v>
      </c>
      <c r="E2" s="126"/>
    </row>
    <row r="3" spans="2:5">
      <c r="B3" s="127" t="s">
        <v>121</v>
      </c>
      <c r="C3" s="117" t="s">
        <v>122</v>
      </c>
      <c r="D3" s="117" t="s">
        <v>56</v>
      </c>
      <c r="E3" s="117" t="s">
        <v>57</v>
      </c>
    </row>
    <row r="4" spans="2:5">
      <c r="B4" s="128" t="s">
        <v>93</v>
      </c>
      <c r="C4" s="117" t="s">
        <v>53</v>
      </c>
      <c r="D4" s="102">
        <v>5</v>
      </c>
      <c r="E4" s="102">
        <v>10</v>
      </c>
    </row>
    <row r="5" spans="2:5">
      <c r="B5" s="128" t="s">
        <v>91</v>
      </c>
      <c r="C5" s="117" t="s">
        <v>54</v>
      </c>
      <c r="D5" s="102">
        <v>25</v>
      </c>
      <c r="E5" s="102">
        <v>5</v>
      </c>
    </row>
    <row r="6" spans="2:5">
      <c r="B6" s="129" t="s">
        <v>92</v>
      </c>
      <c r="C6" s="117" t="s">
        <v>55</v>
      </c>
      <c r="D6" s="102">
        <v>20</v>
      </c>
      <c r="E6" s="102">
        <v>15</v>
      </c>
    </row>
    <row r="7" spans="2:5">
      <c r="B7" s="118"/>
      <c r="C7" s="117"/>
      <c r="D7" s="117" t="s">
        <v>131</v>
      </c>
      <c r="E7" s="117"/>
    </row>
    <row r="8" spans="2:5">
      <c r="B8" s="118"/>
      <c r="C8" s="117" t="s">
        <v>124</v>
      </c>
      <c r="D8" s="102">
        <v>4</v>
      </c>
      <c r="E8" s="117"/>
    </row>
    <row r="9" spans="2:5">
      <c r="B9" s="118"/>
      <c r="C9" s="117" t="s">
        <v>125</v>
      </c>
      <c r="D9" s="102">
        <v>1.5</v>
      </c>
      <c r="E9" s="117"/>
    </row>
    <row r="10" spans="2:5" ht="18.75">
      <c r="B10" s="4" t="s">
        <v>152</v>
      </c>
      <c r="C10" s="117" t="s">
        <v>146</v>
      </c>
      <c r="D10" s="102">
        <v>4.0999999999999996</v>
      </c>
      <c r="E10" s="117"/>
    </row>
    <row r="11" spans="2:5" ht="15.75">
      <c r="B11" s="4" t="s">
        <v>94</v>
      </c>
      <c r="C11" s="117" t="s">
        <v>147</v>
      </c>
      <c r="D11" s="102">
        <v>8</v>
      </c>
      <c r="E11" s="117"/>
    </row>
    <row r="12" spans="2:5" ht="18.75">
      <c r="B12" s="4" t="s">
        <v>153</v>
      </c>
      <c r="C12" s="117" t="s">
        <v>148</v>
      </c>
      <c r="D12" s="102">
        <v>6.7</v>
      </c>
      <c r="E12" s="117"/>
    </row>
    <row r="13" spans="2:5" ht="15.75">
      <c r="B13" s="107" t="s">
        <v>94</v>
      </c>
      <c r="C13" s="117" t="s">
        <v>149</v>
      </c>
      <c r="D13" s="102">
        <v>4</v>
      </c>
      <c r="E13" s="117"/>
    </row>
    <row r="14" spans="2:5" ht="18.75">
      <c r="B14" s="4" t="s">
        <v>154</v>
      </c>
      <c r="C14" s="117" t="s">
        <v>150</v>
      </c>
      <c r="D14" s="102">
        <v>3.3</v>
      </c>
      <c r="E14" s="117"/>
    </row>
    <row r="15" spans="2:5" ht="15.75">
      <c r="B15" s="107" t="s">
        <v>94</v>
      </c>
      <c r="C15" s="117" t="s">
        <v>151</v>
      </c>
      <c r="D15" s="102">
        <v>12</v>
      </c>
      <c r="E15" s="117"/>
    </row>
    <row r="16" spans="2:5" ht="15.75">
      <c r="B16" s="107"/>
    </row>
    <row r="17" spans="2:5" ht="15.75">
      <c r="B17" s="106"/>
      <c r="D17" s="116" t="s">
        <v>130</v>
      </c>
    </row>
    <row r="18" spans="2:5" ht="15.75">
      <c r="B18" s="6" t="s">
        <v>111</v>
      </c>
      <c r="D18" s="116" t="s">
        <v>56</v>
      </c>
      <c r="E18" s="116" t="s">
        <v>57</v>
      </c>
    </row>
    <row r="19" spans="2:5" ht="15.75">
      <c r="B19" s="58" t="s">
        <v>127</v>
      </c>
      <c r="C19" s="116" t="s">
        <v>76</v>
      </c>
      <c r="D19" s="130">
        <v>15.973724532410285</v>
      </c>
      <c r="E19" s="130">
        <v>9.8374020748905053</v>
      </c>
    </row>
    <row r="20" spans="2:5" ht="15.75">
      <c r="B20" s="106"/>
      <c r="D20" s="131" t="s">
        <v>131</v>
      </c>
    </row>
    <row r="21" spans="2:5" ht="18.75">
      <c r="B21" s="17" t="s">
        <v>109</v>
      </c>
      <c r="C21" s="116" t="s">
        <v>126</v>
      </c>
      <c r="D21" s="130">
        <v>5.5</v>
      </c>
    </row>
    <row r="22" spans="2:5" ht="15.75">
      <c r="B22" s="4" t="s">
        <v>95</v>
      </c>
      <c r="C22" s="116" t="s">
        <v>89</v>
      </c>
      <c r="D22" s="130">
        <v>10.240806005923893</v>
      </c>
    </row>
    <row r="23" spans="2:5" ht="15.75">
      <c r="B23" s="4" t="s">
        <v>95</v>
      </c>
      <c r="C23" s="116" t="s">
        <v>90</v>
      </c>
      <c r="D23" s="130">
        <v>6.5470078262714511</v>
      </c>
    </row>
    <row r="24" spans="2:5" ht="15.75">
      <c r="B24" s="4" t="s">
        <v>95</v>
      </c>
      <c r="C24" s="116" t="s">
        <v>88</v>
      </c>
      <c r="D24" s="130">
        <v>10.974929074872112</v>
      </c>
    </row>
    <row r="25" spans="2:5" ht="15.75">
      <c r="B25" s="4" t="s">
        <v>95</v>
      </c>
      <c r="C25" s="116" t="s">
        <v>123</v>
      </c>
      <c r="D25" s="130">
        <v>27.762742907067455</v>
      </c>
    </row>
    <row r="26" spans="2:5" ht="18.75">
      <c r="B26" s="17" t="s">
        <v>114</v>
      </c>
      <c r="C26" s="116" t="s">
        <v>119</v>
      </c>
      <c r="D26" s="130">
        <v>78.204570571365934</v>
      </c>
    </row>
    <row r="27" spans="2:5" ht="18.75">
      <c r="B27" s="17" t="s">
        <v>114</v>
      </c>
      <c r="C27" s="116" t="s">
        <v>120</v>
      </c>
      <c r="D27" s="130">
        <v>80.082218383096688</v>
      </c>
    </row>
    <row r="28" spans="2:5" ht="18.75">
      <c r="B28" s="17" t="s">
        <v>114</v>
      </c>
      <c r="C28" s="116" t="s">
        <v>118</v>
      </c>
      <c r="D28" s="130">
        <v>43.602477863807692</v>
      </c>
    </row>
    <row r="29" spans="2:5" ht="15.75">
      <c r="B29" s="17" t="s">
        <v>112</v>
      </c>
      <c r="C29" s="116" t="s">
        <v>118</v>
      </c>
      <c r="D29" s="130">
        <v>239.81362825094232</v>
      </c>
    </row>
    <row r="30" spans="2:5" ht="15.75">
      <c r="B30" s="17" t="s">
        <v>112</v>
      </c>
      <c r="C30" s="116" t="s">
        <v>113</v>
      </c>
      <c r="D30" s="130">
        <v>432.94160986010877</v>
      </c>
    </row>
    <row r="31" spans="2:5" ht="15.75">
      <c r="B31" s="17" t="s">
        <v>112</v>
      </c>
      <c r="C31" s="116" t="s">
        <v>128</v>
      </c>
      <c r="D31" s="130">
        <v>672.75523811105109</v>
      </c>
    </row>
  </sheetData>
  <mergeCells count="1">
    <mergeCell ref="D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CONSTRUCTION &amp; USE OPTIMUM</vt:lpstr>
      <vt:lpstr>RESET VALUES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greulich</dc:creator>
  <cp:lastModifiedBy>greulich</cp:lastModifiedBy>
  <dcterms:created xsi:type="dcterms:W3CDTF">2014-03-18T21:27:43Z</dcterms:created>
  <dcterms:modified xsi:type="dcterms:W3CDTF">2014-07-03T16:00:16Z</dcterms:modified>
</cp:coreProperties>
</file>