
<file path=[Content_Types].xml><?xml version="1.0" encoding="utf-8"?>
<Types xmlns="http://schemas.openxmlformats.org/package/2006/content-types"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13.xml" ContentType="application/vnd.openxmlformats-officedocument.drawingml.chart+xml"/>
  <Override PartName="/xl/charts/chart11.xml" ContentType="application/vnd.openxmlformats-officedocument.drawingml.char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020" windowHeight="16740" tabRatio="702" activeTab="2"/>
  </bookViews>
  <sheets>
    <sheet name="Getting Started" sheetId="16" r:id="rId1"/>
    <sheet name="Tacoma Syndrome" sheetId="12" r:id="rId2"/>
    <sheet name="WSD-Incentive" sheetId="1" r:id="rId3"/>
    <sheet name="BSD-Incentive" sheetId="3" r:id="rId4"/>
    <sheet name="BSD-unequal n's" sheetId="10" r:id="rId5"/>
    <sheet name="Basic ANOVA" sheetId="9" r:id="rId6"/>
    <sheet name="ANOVA H0 True, False" sheetId="19" r:id="rId7"/>
    <sheet name="Unequal n's" sheetId="13" r:id="rId8"/>
    <sheet name="HOV test" sheetId="21" r:id="rId9"/>
    <sheet name="Two-way ANOVA" sheetId="4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" i="19"/>
  <c r="M5"/>
  <c r="L5"/>
  <c r="K5"/>
  <c r="H8"/>
  <c r="M8"/>
  <c r="L8"/>
  <c r="K8"/>
  <c r="S7"/>
  <c r="V4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32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W32"/>
  <c r="J8"/>
  <c r="L31"/>
  <c r="L32"/>
  <c r="L33"/>
  <c r="B8"/>
  <c r="C8"/>
  <c r="D8"/>
  <c r="E8"/>
  <c r="D31"/>
  <c r="D32"/>
  <c r="D33"/>
  <c r="S33"/>
  <c r="S34"/>
  <c r="S35"/>
  <c r="R35"/>
  <c r="T33"/>
  <c r="T34"/>
  <c r="T35"/>
  <c r="U33"/>
  <c r="U34"/>
  <c r="U35"/>
  <c r="V33"/>
  <c r="V34"/>
  <c r="V35"/>
  <c r="W35"/>
  <c r="H7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4"/>
  <c r="W33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4"/>
  <c r="R33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Q6" i="9"/>
  <c r="Q5"/>
  <c r="Q4"/>
  <c r="Q3"/>
  <c r="I2"/>
  <c r="I6"/>
  <c r="I7"/>
  <c r="I8"/>
  <c r="I9"/>
  <c r="I10"/>
  <c r="I11"/>
  <c r="I14"/>
  <c r="I12"/>
  <c r="R6"/>
  <c r="I15"/>
  <c r="I16"/>
  <c r="I17"/>
  <c r="I19"/>
  <c r="I29"/>
  <c r="I30"/>
  <c r="I31"/>
  <c r="I32"/>
  <c r="T6"/>
  <c r="G2"/>
  <c r="G6"/>
  <c r="G7"/>
  <c r="G8"/>
  <c r="G9"/>
  <c r="G10"/>
  <c r="G11"/>
  <c r="G14"/>
  <c r="G15"/>
  <c r="G16"/>
  <c r="G17"/>
  <c r="G19"/>
  <c r="G29"/>
  <c r="G30"/>
  <c r="G31"/>
  <c r="G32"/>
  <c r="T5"/>
  <c r="E2"/>
  <c r="E6"/>
  <c r="E7"/>
  <c r="E8"/>
  <c r="E9"/>
  <c r="E10"/>
  <c r="E11"/>
  <c r="E14"/>
  <c r="E15"/>
  <c r="E16"/>
  <c r="E17"/>
  <c r="E19"/>
  <c r="E29"/>
  <c r="E30"/>
  <c r="E31"/>
  <c r="E32"/>
  <c r="T4"/>
  <c r="C6"/>
  <c r="C7"/>
  <c r="C8"/>
  <c r="C9"/>
  <c r="C10"/>
  <c r="C11"/>
  <c r="C14"/>
  <c r="C15"/>
  <c r="C16"/>
  <c r="C17"/>
  <c r="C19"/>
  <c r="C29"/>
  <c r="C30"/>
  <c r="C31"/>
  <c r="C32"/>
  <c r="T3"/>
  <c r="K16"/>
  <c r="C18"/>
  <c r="E18"/>
  <c r="G18"/>
  <c r="I18"/>
  <c r="K17"/>
  <c r="I23"/>
  <c r="I24"/>
  <c r="I25"/>
  <c r="S6"/>
  <c r="G23"/>
  <c r="G24"/>
  <c r="G25"/>
  <c r="S5"/>
  <c r="E23"/>
  <c r="E24"/>
  <c r="E25"/>
  <c r="S4"/>
  <c r="C23"/>
  <c r="C24"/>
  <c r="C25"/>
  <c r="S3"/>
  <c r="G12"/>
  <c r="R5"/>
  <c r="E12"/>
  <c r="R4"/>
  <c r="C12"/>
  <c r="R3"/>
  <c r="K11"/>
  <c r="K14"/>
  <c r="O32"/>
  <c r="N32"/>
  <c r="P32"/>
  <c r="O33"/>
  <c r="N33"/>
  <c r="P33"/>
  <c r="Q32"/>
  <c r="R32"/>
  <c r="S32"/>
  <c r="N2"/>
  <c r="N3"/>
  <c r="N4"/>
  <c r="N5"/>
  <c r="N8"/>
  <c r="N7"/>
  <c r="N6"/>
  <c r="O34"/>
  <c r="N34"/>
  <c r="N1"/>
  <c r="I34"/>
  <c r="G34"/>
  <c r="E34"/>
  <c r="C34"/>
  <c r="I33"/>
  <c r="G33"/>
  <c r="E33"/>
  <c r="C33"/>
  <c r="I27"/>
  <c r="G27"/>
  <c r="E27"/>
  <c r="C27"/>
  <c r="I26"/>
  <c r="G26"/>
  <c r="E26"/>
  <c r="C26"/>
  <c r="I20"/>
  <c r="I21"/>
  <c r="G20"/>
  <c r="G21"/>
  <c r="E20"/>
  <c r="E21"/>
  <c r="C20"/>
  <c r="C21"/>
  <c r="K15"/>
  <c r="C1" i="3"/>
  <c r="E1"/>
  <c r="E6"/>
  <c r="E7"/>
  <c r="E8"/>
  <c r="E9"/>
  <c r="E10"/>
  <c r="E11"/>
  <c r="E12"/>
  <c r="E13"/>
  <c r="E14"/>
  <c r="C6"/>
  <c r="C7"/>
  <c r="C8"/>
  <c r="C9"/>
  <c r="C10"/>
  <c r="C11"/>
  <c r="C12"/>
  <c r="C13"/>
  <c r="C14"/>
  <c r="D15"/>
  <c r="C17"/>
  <c r="C16"/>
  <c r="C18"/>
  <c r="C19"/>
  <c r="C20"/>
  <c r="E17"/>
  <c r="E16"/>
  <c r="E18"/>
  <c r="E19"/>
  <c r="E20"/>
  <c r="C21"/>
  <c r="E21"/>
  <c r="D25"/>
  <c r="D27"/>
  <c r="I6"/>
  <c r="D26"/>
  <c r="I7"/>
  <c r="I8"/>
  <c r="E22"/>
  <c r="L30"/>
  <c r="L31"/>
  <c r="L32"/>
  <c r="L33"/>
  <c r="L3"/>
  <c r="C22"/>
  <c r="K30"/>
  <c r="K31"/>
  <c r="K32"/>
  <c r="K33"/>
  <c r="L2"/>
  <c r="I31"/>
  <c r="I32"/>
  <c r="I33"/>
  <c r="I35"/>
  <c r="I34"/>
  <c r="H31"/>
  <c r="E23"/>
  <c r="E24"/>
  <c r="C23"/>
  <c r="H32"/>
  <c r="H33"/>
  <c r="K2"/>
  <c r="K3"/>
  <c r="I3"/>
  <c r="I2"/>
  <c r="J3"/>
  <c r="J2"/>
  <c r="L6"/>
  <c r="L7"/>
  <c r="L8"/>
  <c r="L10"/>
  <c r="L9"/>
  <c r="L35"/>
  <c r="L34"/>
  <c r="K35"/>
  <c r="K34"/>
  <c r="H35"/>
  <c r="H34"/>
  <c r="C24"/>
  <c r="E2" i="10"/>
  <c r="E6"/>
  <c r="E7"/>
  <c r="E8"/>
  <c r="E9"/>
  <c r="E14"/>
  <c r="E15"/>
  <c r="E16"/>
  <c r="C6"/>
  <c r="C7"/>
  <c r="C8"/>
  <c r="C9"/>
  <c r="C10"/>
  <c r="C11"/>
  <c r="C12"/>
  <c r="C13"/>
  <c r="C14"/>
  <c r="C15"/>
  <c r="C16"/>
  <c r="D17"/>
  <c r="C19"/>
  <c r="C20"/>
  <c r="C21"/>
  <c r="E19"/>
  <c r="E20"/>
  <c r="E21"/>
  <c r="C22"/>
  <c r="E22"/>
  <c r="D26"/>
  <c r="D28"/>
  <c r="I6"/>
  <c r="D27"/>
  <c r="I7"/>
  <c r="I8"/>
  <c r="E23"/>
  <c r="M31"/>
  <c r="M32"/>
  <c r="M33"/>
  <c r="M34"/>
  <c r="L3"/>
  <c r="C23"/>
  <c r="L31"/>
  <c r="L32"/>
  <c r="L33"/>
  <c r="L34"/>
  <c r="L2"/>
  <c r="I32"/>
  <c r="I33"/>
  <c r="I34"/>
  <c r="I3"/>
  <c r="I2"/>
  <c r="K3"/>
  <c r="H32"/>
  <c r="H33"/>
  <c r="H34"/>
  <c r="K2"/>
  <c r="J3"/>
  <c r="J2"/>
  <c r="M36"/>
  <c r="L36"/>
  <c r="M35"/>
  <c r="L35"/>
  <c r="L6"/>
  <c r="L7"/>
  <c r="L8"/>
  <c r="L10"/>
  <c r="L9"/>
  <c r="I36"/>
  <c r="H36"/>
  <c r="I35"/>
  <c r="H35"/>
  <c r="E24"/>
  <c r="E25"/>
  <c r="C24"/>
  <c r="C25"/>
  <c r="B10" i="16"/>
  <c r="B11"/>
  <c r="B12"/>
  <c r="B13"/>
  <c r="B14"/>
  <c r="B15"/>
  <c r="B16"/>
  <c r="B17"/>
  <c r="B18"/>
  <c r="B19"/>
  <c r="B20"/>
  <c r="B23"/>
  <c r="B24"/>
  <c r="B25"/>
  <c r="B26"/>
  <c r="B27"/>
  <c r="B29"/>
  <c r="B30"/>
  <c r="J10"/>
  <c r="J11"/>
  <c r="J12"/>
  <c r="J15"/>
  <c r="J14"/>
  <c r="E11"/>
  <c r="E10"/>
  <c r="B28"/>
  <c r="D6" i="21"/>
  <c r="D7"/>
  <c r="D8"/>
  <c r="D9"/>
  <c r="D14"/>
  <c r="D15"/>
  <c r="D16"/>
  <c r="D17"/>
  <c r="D18"/>
  <c r="D19"/>
  <c r="B6"/>
  <c r="B7"/>
  <c r="B8"/>
  <c r="B9"/>
  <c r="B10"/>
  <c r="B11"/>
  <c r="B12"/>
  <c r="B13"/>
  <c r="B14"/>
  <c r="B15"/>
  <c r="B16"/>
  <c r="B17"/>
  <c r="B18"/>
  <c r="B19"/>
  <c r="M2"/>
  <c r="M9"/>
  <c r="M4"/>
  <c r="L10"/>
  <c r="G4"/>
  <c r="G9"/>
  <c r="F10"/>
  <c r="B9" i="12"/>
  <c r="B10"/>
  <c r="B11"/>
  <c r="B12"/>
  <c r="B13"/>
  <c r="B14"/>
  <c r="B15"/>
  <c r="B16"/>
  <c r="B17"/>
  <c r="B18"/>
  <c r="B19"/>
  <c r="B21"/>
  <c r="B22"/>
  <c r="B23"/>
  <c r="B24"/>
  <c r="B25"/>
  <c r="B27"/>
  <c r="B28"/>
  <c r="E9"/>
  <c r="E10"/>
  <c r="E11"/>
  <c r="I9"/>
  <c r="I10"/>
  <c r="I11"/>
  <c r="J3"/>
  <c r="H3"/>
  <c r="I3"/>
  <c r="C19"/>
  <c r="C26"/>
  <c r="I13"/>
  <c r="I12"/>
  <c r="B26"/>
  <c r="D12" i="4"/>
  <c r="F12"/>
  <c r="H12"/>
  <c r="J12"/>
  <c r="D13"/>
  <c r="F13"/>
  <c r="H13"/>
  <c r="J13"/>
  <c r="D14"/>
  <c r="F14"/>
  <c r="H14"/>
  <c r="J14"/>
  <c r="D15"/>
  <c r="F15"/>
  <c r="H15"/>
  <c r="J15"/>
  <c r="D16"/>
  <c r="F16"/>
  <c r="H16"/>
  <c r="J16"/>
  <c r="D20"/>
  <c r="F20"/>
  <c r="H20"/>
  <c r="J20"/>
  <c r="D21"/>
  <c r="F21"/>
  <c r="H21"/>
  <c r="J21"/>
  <c r="D22"/>
  <c r="F22"/>
  <c r="H22"/>
  <c r="J22"/>
  <c r="D23"/>
  <c r="F23"/>
  <c r="H23"/>
  <c r="J23"/>
  <c r="D24"/>
  <c r="F24"/>
  <c r="H24"/>
  <c r="J24"/>
  <c r="D17"/>
  <c r="F17"/>
  <c r="H17"/>
  <c r="J17"/>
  <c r="D25"/>
  <c r="F25"/>
  <c r="H25"/>
  <c r="J25"/>
  <c r="C31"/>
  <c r="C32"/>
  <c r="C33"/>
  <c r="C34"/>
  <c r="I9"/>
  <c r="C37"/>
  <c r="J7"/>
  <c r="H7"/>
  <c r="F7"/>
  <c r="D7"/>
  <c r="J28"/>
  <c r="J29"/>
  <c r="H28"/>
  <c r="H29"/>
  <c r="F28"/>
  <c r="F29"/>
  <c r="D28"/>
  <c r="D29"/>
  <c r="L28"/>
  <c r="L29"/>
  <c r="G33"/>
  <c r="G34"/>
  <c r="L17"/>
  <c r="L25"/>
  <c r="K9"/>
  <c r="G35"/>
  <c r="G36"/>
  <c r="F34"/>
  <c r="F35"/>
  <c r="F36"/>
  <c r="H36"/>
  <c r="G37"/>
  <c r="F37"/>
  <c r="H37"/>
  <c r="I36"/>
  <c r="J36"/>
  <c r="K36"/>
  <c r="H35"/>
  <c r="I35"/>
  <c r="J35"/>
  <c r="K35"/>
  <c r="H34"/>
  <c r="I34"/>
  <c r="J34"/>
  <c r="K34"/>
  <c r="J26"/>
  <c r="R6"/>
  <c r="H26"/>
  <c r="R5"/>
  <c r="F26"/>
  <c r="R4"/>
  <c r="D26"/>
  <c r="R3"/>
  <c r="J18"/>
  <c r="Q6"/>
  <c r="H18"/>
  <c r="Q5"/>
  <c r="F18"/>
  <c r="Q4"/>
  <c r="D18"/>
  <c r="Q3"/>
  <c r="P6"/>
  <c r="P5"/>
  <c r="P4"/>
  <c r="P3"/>
  <c r="O6"/>
  <c r="O5"/>
  <c r="O4"/>
  <c r="O3"/>
  <c r="G38"/>
  <c r="F33"/>
  <c r="F38"/>
  <c r="C38"/>
  <c r="C39"/>
  <c r="C36"/>
  <c r="D19"/>
  <c r="F19"/>
  <c r="H19"/>
  <c r="J19"/>
  <c r="D27"/>
  <c r="F27"/>
  <c r="H27"/>
  <c r="J27"/>
  <c r="L30"/>
  <c r="L26"/>
  <c r="L18"/>
  <c r="L3"/>
  <c r="L5"/>
  <c r="L7"/>
  <c r="G2" i="13"/>
  <c r="G9"/>
  <c r="G8"/>
  <c r="G7"/>
  <c r="G6"/>
  <c r="I2"/>
  <c r="I6"/>
  <c r="I7"/>
  <c r="I8"/>
  <c r="I9"/>
  <c r="I10"/>
  <c r="E2"/>
  <c r="E6"/>
  <c r="E7"/>
  <c r="E8"/>
  <c r="E9"/>
  <c r="E10"/>
  <c r="C6"/>
  <c r="C7"/>
  <c r="C11"/>
  <c r="C13"/>
  <c r="C15"/>
  <c r="E11"/>
  <c r="E13"/>
  <c r="E15"/>
  <c r="G11"/>
  <c r="G13"/>
  <c r="G15"/>
  <c r="I11"/>
  <c r="I13"/>
  <c r="I15"/>
  <c r="K15"/>
  <c r="O33"/>
  <c r="C16"/>
  <c r="E16"/>
  <c r="G16"/>
  <c r="I16"/>
  <c r="K16"/>
  <c r="N33"/>
  <c r="K11"/>
  <c r="K13"/>
  <c r="O32"/>
  <c r="O5"/>
  <c r="I12"/>
  <c r="I14"/>
  <c r="I17"/>
  <c r="I19"/>
  <c r="I29"/>
  <c r="I30"/>
  <c r="I31"/>
  <c r="I32"/>
  <c r="I34"/>
  <c r="G12"/>
  <c r="G14"/>
  <c r="G17"/>
  <c r="G19"/>
  <c r="G29"/>
  <c r="G30"/>
  <c r="G31"/>
  <c r="G32"/>
  <c r="G34"/>
  <c r="E12"/>
  <c r="E14"/>
  <c r="E17"/>
  <c r="E19"/>
  <c r="E29"/>
  <c r="E30"/>
  <c r="E31"/>
  <c r="E32"/>
  <c r="E34"/>
  <c r="C12"/>
  <c r="C14"/>
  <c r="C17"/>
  <c r="C19"/>
  <c r="C29"/>
  <c r="C30"/>
  <c r="C31"/>
  <c r="C32"/>
  <c r="C34"/>
  <c r="I33"/>
  <c r="G33"/>
  <c r="E33"/>
  <c r="C33"/>
  <c r="C18"/>
  <c r="E18"/>
  <c r="G18"/>
  <c r="I18"/>
  <c r="K17"/>
  <c r="I23"/>
  <c r="I24"/>
  <c r="I25"/>
  <c r="I27"/>
  <c r="G23"/>
  <c r="G24"/>
  <c r="G25"/>
  <c r="G27"/>
  <c r="E23"/>
  <c r="E24"/>
  <c r="E25"/>
  <c r="E27"/>
  <c r="C23"/>
  <c r="C24"/>
  <c r="C25"/>
  <c r="C27"/>
  <c r="I26"/>
  <c r="G26"/>
  <c r="E26"/>
  <c r="C26"/>
  <c r="I20"/>
  <c r="I21"/>
  <c r="G20"/>
  <c r="G21"/>
  <c r="E20"/>
  <c r="E21"/>
  <c r="C20"/>
  <c r="C21"/>
  <c r="K14"/>
  <c r="O34"/>
  <c r="N32"/>
  <c r="N34"/>
  <c r="P33"/>
  <c r="P32"/>
  <c r="Q32"/>
  <c r="R32"/>
  <c r="S32"/>
  <c r="R6"/>
  <c r="Q6"/>
  <c r="P6"/>
  <c r="O6"/>
  <c r="R5"/>
  <c r="Q5"/>
  <c r="P5"/>
  <c r="R4"/>
  <c r="Q4"/>
  <c r="P4"/>
  <c r="O4"/>
  <c r="R3"/>
  <c r="Q3"/>
  <c r="P3"/>
  <c r="O3"/>
  <c r="A7" i="1"/>
  <c r="D7"/>
  <c r="C7"/>
  <c r="E7"/>
  <c r="A8"/>
  <c r="D8"/>
  <c r="C8"/>
  <c r="E8"/>
  <c r="A9"/>
  <c r="D9"/>
  <c r="C9"/>
  <c r="E9"/>
  <c r="A10"/>
  <c r="D10"/>
  <c r="C10"/>
  <c r="E10"/>
  <c r="A11"/>
  <c r="D11"/>
  <c r="C11"/>
  <c r="E11"/>
  <c r="A12"/>
  <c r="D12"/>
  <c r="C12"/>
  <c r="E12"/>
  <c r="A13"/>
  <c r="D13"/>
  <c r="C13"/>
  <c r="E13"/>
  <c r="A14"/>
  <c r="D14"/>
  <c r="C14"/>
  <c r="E14"/>
  <c r="A15"/>
  <c r="D15"/>
  <c r="C15"/>
  <c r="E15"/>
  <c r="A16"/>
  <c r="D16"/>
  <c r="C16"/>
  <c r="E16"/>
  <c r="E17"/>
  <c r="E20"/>
  <c r="E21"/>
  <c r="E22"/>
  <c r="E23"/>
  <c r="E24"/>
  <c r="E26"/>
  <c r="E27"/>
  <c r="H5"/>
  <c r="H6"/>
  <c r="H7"/>
  <c r="K5"/>
  <c r="K6"/>
  <c r="K7"/>
  <c r="K2"/>
  <c r="I2"/>
  <c r="E3"/>
  <c r="H2"/>
  <c r="D17"/>
  <c r="C17"/>
  <c r="E19"/>
  <c r="D19"/>
  <c r="C19"/>
  <c r="A17"/>
  <c r="K9"/>
  <c r="K8"/>
  <c r="E25"/>
</calcChain>
</file>

<file path=xl/sharedStrings.xml><?xml version="1.0" encoding="utf-8"?>
<sst xmlns="http://schemas.openxmlformats.org/spreadsheetml/2006/main" count="701" uniqueCount="500">
  <si>
    <r>
      <t>M</t>
    </r>
    <r>
      <rPr>
        <b/>
        <vertAlign val="subscript"/>
        <sz val="16"/>
        <color indexed="9"/>
        <rFont val="Times"/>
      </rPr>
      <t>3</t>
    </r>
    <phoneticPr fontId="2" type="noConversion"/>
  </si>
  <si>
    <t>Level 1: Immediate test</t>
    <phoneticPr fontId="2" type="noConversion"/>
  </si>
  <si>
    <t>Obt F</t>
    <phoneticPr fontId="2" type="noConversion"/>
  </si>
  <si>
    <t>Cond 1</t>
    <phoneticPr fontId="2" type="noConversion"/>
  </si>
  <si>
    <t>Cond 2</t>
    <phoneticPr fontId="2" type="noConversion"/>
  </si>
  <si>
    <t>Cond 3</t>
    <phoneticPr fontId="2" type="noConversion"/>
  </si>
  <si>
    <t>Cond 4</t>
    <phoneticPr fontId="2" type="noConversion"/>
  </si>
  <si>
    <t>H0 false</t>
    <phoneticPr fontId="2" type="noConversion"/>
  </si>
  <si>
    <r>
      <t>H</t>
    </r>
    <r>
      <rPr>
        <vertAlign val="subscript"/>
        <sz val="12"/>
        <rFont val="Times"/>
      </rPr>
      <t>0</t>
    </r>
    <r>
      <rPr>
        <sz val="12"/>
        <rFont val="Times"/>
      </rPr>
      <t xml:space="preserve"> true</t>
    </r>
    <phoneticPr fontId="2" type="noConversion"/>
  </si>
  <si>
    <r>
      <t>H</t>
    </r>
    <r>
      <rPr>
        <vertAlign val="subscript"/>
        <sz val="24"/>
        <rFont val="Times"/>
      </rPr>
      <t>0</t>
    </r>
    <r>
      <rPr>
        <sz val="24"/>
        <rFont val="Times"/>
      </rPr>
      <t xml:space="preserve"> is false</t>
    </r>
    <phoneticPr fontId="2" type="noConversion"/>
  </si>
  <si>
    <r>
      <t>H</t>
    </r>
    <r>
      <rPr>
        <vertAlign val="subscript"/>
        <sz val="24"/>
        <rFont val="Times"/>
      </rPr>
      <t>0</t>
    </r>
    <r>
      <rPr>
        <sz val="24"/>
        <rFont val="Times"/>
      </rPr>
      <t xml:space="preserve"> is true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</si>
  <si>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</si>
  <si>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</si>
  <si>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16</t>
    </r>
    <r>
      <rPr>
        <sz val="18"/>
        <color indexed="9"/>
        <rFont val="Times"/>
      </rPr>
      <t xml:space="preserve"> =</t>
    </r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</si>
  <si>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</si>
  <si>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</si>
  <si>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</si>
  <si>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</si>
  <si>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</si>
  <si>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</t>
    </r>
    <phoneticPr fontId="2" type="noConversion"/>
  </si>
  <si>
    <t>Scotch</t>
    <phoneticPr fontId="2" type="noConversion"/>
  </si>
  <si>
    <t>Vodka</t>
    <phoneticPr fontId="2" type="noConversion"/>
  </si>
  <si>
    <t>M =</t>
    <phoneticPr fontId="2" type="noConversion"/>
  </si>
  <si>
    <t>SSW =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</si>
  <si>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</si>
  <si>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</si>
  <si>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</si>
  <si>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</si>
  <si>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</si>
  <si>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</si>
  <si>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</si>
  <si>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CIs: non-HOV</t>
    <phoneticPr fontId="2" type="noConversion"/>
  </si>
  <si>
    <t>CALCULATIONS</t>
    <phoneticPr fontId="2" type="noConversion"/>
  </si>
  <si>
    <t>HYPOTHESIS TESTING</t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</si>
  <si>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</si>
  <si>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r>
      <t xml:space="preserve">Demonstration of why MSB isn't a good estimate of </t>
    </r>
    <r>
      <rPr>
        <sz val="24"/>
        <rFont val="Symbol"/>
      </rPr>
      <t>s</t>
    </r>
    <r>
      <rPr>
        <vertAlign val="superscript"/>
        <sz val="24"/>
        <rFont val="Times"/>
      </rPr>
      <t>2</t>
    </r>
    <r>
      <rPr>
        <sz val="24"/>
        <rFont val="Times"/>
      </rPr>
      <t xml:space="preserve"> when the null hypothesis is false</t>
    </r>
    <phoneticPr fontId="2" type="noConversion"/>
  </si>
  <si>
    <t>Source</t>
    <phoneticPr fontId="2" type="noConversion"/>
  </si>
  <si>
    <t>df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</si>
  <si>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</si>
  <si>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 xml:space="preserve">CI % = </t>
    <phoneticPr fontId="2" type="noConversion"/>
  </si>
  <si>
    <t xml:space="preserve">CI % = 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</si>
  <si>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</t>
    </r>
    <phoneticPr fontId="2" type="noConversion"/>
  </si>
  <si>
    <t>Obt t =</t>
    <phoneticPr fontId="2" type="noConversion"/>
  </si>
  <si>
    <t>For Graph:</t>
    <phoneticPr fontId="2" type="noConversion"/>
  </si>
  <si>
    <t>J =</t>
    <phoneticPr fontId="2" type="noConversion"/>
  </si>
  <si>
    <t xml:space="preserve">n = </t>
    <phoneticPr fontId="2" type="noConversion"/>
  </si>
  <si>
    <r>
      <t>s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</si>
  <si>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</si>
  <si>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CALCULATIONS</t>
    <phoneticPr fontId="2" type="noConversion"/>
  </si>
  <si>
    <t>Amount of Degradation (percent pixels removed)</t>
    <phoneticPr fontId="2" type="noConversion"/>
  </si>
  <si>
    <t>15%</t>
    <phoneticPr fontId="2" type="noConversion"/>
  </si>
  <si>
    <t>Crit F</t>
    <phoneticPr fontId="2" type="noConversion"/>
  </si>
  <si>
    <r>
      <t>m</t>
    </r>
    <r>
      <rPr>
        <vertAlign val="subscript"/>
        <sz val="18"/>
        <color indexed="9"/>
        <rFont val="Times"/>
      </rPr>
      <t>j1</t>
    </r>
    <phoneticPr fontId="2" type="noConversion"/>
  </si>
  <si>
    <r>
      <t>m</t>
    </r>
    <r>
      <rPr>
        <vertAlign val="subscript"/>
        <sz val="18"/>
        <color indexed="9"/>
        <rFont val="Times"/>
      </rPr>
      <t>j2</t>
    </r>
    <phoneticPr fontId="2" type="noConversion"/>
  </si>
  <si>
    <r>
      <t>x</t>
    </r>
    <r>
      <rPr>
        <vertAlign val="subscript"/>
        <sz val="18"/>
        <color indexed="9"/>
        <rFont val="Times"/>
      </rPr>
      <t>33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</si>
  <si>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</t>
    </r>
    <r>
      <rPr>
        <sz val="18"/>
        <color indexed="9"/>
        <rFont val="Times"/>
      </rPr>
      <t xml:space="preserve"> =</t>
    </r>
    <phoneticPr fontId="2" type="noConversion"/>
  </si>
  <si>
    <t xml:space="preserve">CI % = </t>
    <phoneticPr fontId="2" type="noConversion"/>
  </si>
  <si>
    <t xml:space="preserve">Lower: </t>
    <phoneticPr fontId="2" type="noConversion"/>
  </si>
  <si>
    <t xml:space="preserve">Upper: </t>
    <phoneticPr fontId="2" type="noConversion"/>
  </si>
  <si>
    <t>CI</t>
    <phoneticPr fontId="2" type="noConversion"/>
  </si>
  <si>
    <t>Person</t>
    <phoneticPr fontId="2" type="noConversion"/>
  </si>
  <si>
    <t>The real world...</t>
    <phoneticPr fontId="2" type="noConversion"/>
  </si>
  <si>
    <r>
      <t>m</t>
    </r>
    <r>
      <rPr>
        <vertAlign val="subscript"/>
        <sz val="18"/>
        <color indexed="9"/>
        <rFont val="Times"/>
      </rPr>
      <t>N</t>
    </r>
    <r>
      <rPr>
        <sz val="18"/>
        <color indexed="9"/>
        <rFont val="Times"/>
      </rPr>
      <t xml:space="preserve"> = </t>
    </r>
    <phoneticPr fontId="2" type="noConversion"/>
  </si>
  <si>
    <r>
      <t>= 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</si>
  <si>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r>
      <t>= sqrt(est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>)</t>
    </r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</si>
  <si>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/>
    </r>
    <phoneticPr fontId="2" type="noConversion"/>
  </si>
  <si>
    <t>= total number of scores</t>
    <phoneticPr fontId="2" type="noConversion"/>
  </si>
  <si>
    <t>dfW =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</si>
  <si>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</si>
  <si>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</si>
  <si>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</si>
  <si>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SS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</si>
  <si>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</si>
  <si>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</si>
  <si>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t>Control</t>
    <phoneticPr fontId="2" type="noConversion"/>
  </si>
  <si>
    <t>Rotated</t>
    <phoneticPr fontId="2" type="noConversion"/>
  </si>
  <si>
    <t>For Graph:</t>
    <phoneticPr fontId="2" type="noConversion"/>
  </si>
  <si>
    <t>CI (HOV)</t>
    <phoneticPr fontId="2" type="noConversion"/>
  </si>
  <si>
    <t>CI (no HOV)</t>
    <phoneticPr fontId="2" type="noConversion"/>
  </si>
  <si>
    <t>Incentive</t>
    <phoneticPr fontId="2" type="noConversion"/>
  </si>
  <si>
    <r>
      <t>M</t>
    </r>
    <r>
      <rPr>
        <vertAlign val="subscript"/>
        <sz val="18"/>
        <color indexed="9"/>
        <rFont val="Times"/>
      </rPr>
      <t>j1</t>
    </r>
    <phoneticPr fontId="2" type="noConversion"/>
  </si>
  <si>
    <r>
      <t>M</t>
    </r>
    <r>
      <rPr>
        <vertAlign val="subscript"/>
        <sz val="18"/>
        <color indexed="9"/>
        <rFont val="Times"/>
      </rPr>
      <t>j2</t>
    </r>
    <phoneticPr fontId="2" type="noConversion"/>
  </si>
  <si>
    <t>Decision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</si>
  <si>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(M2-M1)</t>
    </r>
    <r>
      <rPr>
        <sz val="18"/>
        <color indexed="9"/>
        <rFont val="Times"/>
      </rPr>
      <t xml:space="preserve"> = </t>
    </r>
    <phoneticPr fontId="2" type="noConversion"/>
  </si>
  <si>
    <t xml:space="preserve">Obt t = 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</si>
  <si>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</si>
  <si>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</si>
  <si>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</si>
  <si>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</si>
  <si>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9"/>
        <rFont val="Times"/>
      </rPr>
      <t xml:space="preserve"> = </t>
    </r>
    <phoneticPr fontId="2" type="noConversion"/>
  </si>
  <si>
    <r>
      <t xml:space="preserve">= actual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phoneticPr fontId="2" type="noConversion"/>
  </si>
  <si>
    <r>
      <t>T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</si>
  <si>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</si>
  <si>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</si>
  <si>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(HOV)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</si>
  <si>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(no HOV)</t>
    </r>
    <phoneticPr fontId="2" type="noConversion"/>
  </si>
  <si>
    <t>ANOVA</t>
    <phoneticPr fontId="2" type="noConversion"/>
  </si>
  <si>
    <t>Source</t>
    <phoneticPr fontId="2" type="noConversion"/>
  </si>
  <si>
    <t>df</t>
    <phoneticPr fontId="2" type="noConversion"/>
  </si>
  <si>
    <t>SS</t>
    <phoneticPr fontId="2" type="noConversion"/>
  </si>
  <si>
    <r>
      <t>m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</si>
  <si>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</si>
  <si>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</si>
  <si>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</si>
  <si>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</si>
  <si>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</si>
  <si>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</si>
  <si>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</si>
  <si>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213</t>
    </r>
    <r>
      <rPr>
        <sz val="18"/>
        <color indexed="9"/>
        <rFont val="Times"/>
      </rPr>
      <t xml:space="preserve"> =</t>
    </r>
    <phoneticPr fontId="2" type="noConversion"/>
  </si>
  <si>
    <r>
      <t>n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</si>
  <si>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</si>
  <si>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1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</si>
  <si>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4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</si>
  <si>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3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</si>
  <si>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2</t>
    </r>
    <phoneticPr fontId="2" type="noConversion"/>
  </si>
  <si>
    <t>Person effect</t>
    <phoneticPr fontId="2" type="noConversion"/>
  </si>
  <si>
    <t>Person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</si>
  <si>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</si>
  <si>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</si>
  <si>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</si>
  <si>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</si>
  <si>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t xml:space="preserve">N = </t>
    <phoneticPr fontId="2" type="noConversion"/>
  </si>
  <si>
    <t>SSW =</t>
    <phoneticPr fontId="2" type="noConversion"/>
  </si>
  <si>
    <r>
      <t>a</t>
    </r>
    <r>
      <rPr>
        <sz val="18"/>
        <color indexed="8"/>
        <rFont val="Times"/>
      </rPr>
      <t xml:space="preserve"> =</t>
    </r>
    <phoneticPr fontId="2" type="noConversion"/>
  </si>
  <si>
    <t>CI percent =</t>
    <phoneticPr fontId="2" type="noConversion"/>
  </si>
  <si>
    <r>
      <t>T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</si>
  <si>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</si>
  <si>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</si>
  <si>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t>CI magnitude =</t>
    <phoneticPr fontId="2" type="noConversion"/>
  </si>
  <si>
    <r>
      <t>x</t>
    </r>
    <r>
      <rPr>
        <vertAlign val="subscript"/>
        <sz val="18"/>
        <color indexed="9"/>
        <rFont val="Times"/>
      </rPr>
      <t>111</t>
    </r>
    <r>
      <rPr>
        <sz val="18"/>
        <color indexed="9"/>
        <rFont val="Times"/>
      </rPr>
      <t xml:space="preserve"> =</t>
    </r>
    <phoneticPr fontId="2" type="noConversion"/>
  </si>
  <si>
    <t>Factor 1: Amount of Degradation (percent pixels removed)</t>
    <phoneticPr fontId="2" type="noConversion"/>
  </si>
  <si>
    <t>Delayed test</t>
    <phoneticPr fontId="2" type="noConversion"/>
  </si>
  <si>
    <t xml:space="preserve">Immediate test  </t>
    <phoneticPr fontId="2" type="noConversion"/>
  </si>
  <si>
    <t>df =</t>
    <phoneticPr fontId="2" type="noConversion"/>
  </si>
  <si>
    <r>
      <t>x</t>
    </r>
    <r>
      <rPr>
        <vertAlign val="subscript"/>
        <sz val="18"/>
        <color indexed="9"/>
        <rFont val="Times"/>
      </rPr>
      <t>411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</si>
  <si>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</si>
  <si>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</si>
  <si>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</si>
  <si>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412</t>
    </r>
    <r>
      <rPr>
        <sz val="18"/>
        <color indexed="9"/>
        <rFont val="Times"/>
      </rPr>
      <t xml:space="preserve"> =</t>
    </r>
    <phoneticPr fontId="2" type="noConversion"/>
  </si>
  <si>
    <r>
      <t>CI's around 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</t>
    </r>
    <phoneticPr fontId="2" type="noConversion"/>
  </si>
  <si>
    <t>For Graphs:</t>
    <phoneticPr fontId="2" type="noConversion"/>
  </si>
  <si>
    <r>
      <t>CIs around 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</t>
    </r>
    <phoneticPr fontId="2" type="noConversion"/>
  </si>
  <si>
    <t>MS</t>
    <phoneticPr fontId="2" type="noConversion"/>
  </si>
  <si>
    <r>
      <t>x</t>
    </r>
    <r>
      <rPr>
        <vertAlign val="subscript"/>
        <sz val="18"/>
        <color indexed="9"/>
        <rFont val="Times"/>
      </rPr>
      <t>24</t>
    </r>
    <r>
      <rPr>
        <sz val="18"/>
        <color indexed="9"/>
        <rFont val="Times"/>
      </rPr>
      <t xml:space="preserve"> =</t>
    </r>
    <phoneticPr fontId="2" type="noConversion"/>
  </si>
  <si>
    <t>Rotated</t>
    <phoneticPr fontId="2" type="noConversion"/>
  </si>
  <si>
    <t>$1/word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</si>
  <si>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(M2-M1)</t>
    </r>
    <r>
      <rPr>
        <sz val="18"/>
        <color indexed="9"/>
        <rFont val="Times"/>
      </rPr>
      <t xml:space="preserve"> = </t>
    </r>
    <phoneticPr fontId="2" type="noConversion"/>
  </si>
  <si>
    <r>
      <t>S</t>
    </r>
    <r>
      <rPr>
        <sz val="18"/>
        <rFont val="Times"/>
      </rPr>
      <t>S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</si>
  <si>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</si>
  <si>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t>= M</t>
    <phoneticPr fontId="2" type="noConversion"/>
  </si>
  <si>
    <r>
      <t>est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</si>
  <si>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6"/>
        <color indexed="9"/>
        <rFont val="Times"/>
      </rPr>
      <t>4</t>
    </r>
    <phoneticPr fontId="2" type="noConversion"/>
  </si>
  <si>
    <r>
      <t>m</t>
    </r>
    <r>
      <rPr>
        <vertAlign val="subscript"/>
        <sz val="16"/>
        <color indexed="9"/>
        <rFont val="Times"/>
      </rPr>
      <t>3</t>
    </r>
    <phoneticPr fontId="2" type="noConversion"/>
  </si>
  <si>
    <t xml:space="preserve">Obtained F = </t>
    <phoneticPr fontId="2" type="noConversion"/>
  </si>
  <si>
    <t>Type of Alcohol</t>
    <phoneticPr fontId="2" type="noConversion"/>
  </si>
  <si>
    <r>
      <t>T</t>
    </r>
    <r>
      <rPr>
        <vertAlign val="subscript"/>
        <sz val="18"/>
        <color indexed="9"/>
        <rFont val="Times"/>
      </rPr>
      <t>j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>/n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</si>
  <si>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sz val="18"/>
        <color indexed="9"/>
        <rFont val="Times"/>
      </rPr>
      <t>T</t>
    </r>
    <r>
      <rPr>
        <vertAlign val="subscript"/>
        <sz val="18"/>
        <color indexed="9"/>
        <rFont val="Times"/>
      </rPr>
      <t>j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>/n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</si>
  <si>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t>WW</t>
    <phoneticPr fontId="2" type="noConversion"/>
  </si>
  <si>
    <t>S</t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</si>
  <si>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</si>
  <si>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</si>
  <si>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</si>
  <si>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</si>
  <si>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t>HYPOTHESIS TESTING</t>
    <phoneticPr fontId="2" type="noConversion"/>
  </si>
  <si>
    <t>CONFIDENCE INTERVALS</t>
    <phoneticPr fontId="2" type="noConversion"/>
  </si>
  <si>
    <r>
      <t>x</t>
    </r>
    <r>
      <rPr>
        <vertAlign val="subscript"/>
        <sz val="18"/>
        <color indexed="9"/>
        <rFont val="Times"/>
      </rPr>
      <t>324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</si>
  <si>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</si>
  <si>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</si>
  <si>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</si>
  <si>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</si>
  <si>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425</t>
    </r>
    <r>
      <rPr>
        <sz val="18"/>
        <color indexed="9"/>
        <rFont val="Times"/>
      </rPr>
      <t xml:space="preserve"> =</t>
    </r>
    <phoneticPr fontId="2" type="noConversion"/>
  </si>
  <si>
    <r>
      <t>(x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x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</t>
    </r>
    <phoneticPr fontId="2" type="noConversion"/>
  </si>
  <si>
    <t>Means</t>
    <phoneticPr fontId="2" type="noConversion"/>
  </si>
  <si>
    <r>
      <t>= M</t>
    </r>
    <r>
      <rPr>
        <vertAlign val="subscript"/>
        <sz val="18"/>
        <color indexed="9"/>
        <rFont val="Times"/>
      </rPr>
      <t>1</t>
    </r>
    <phoneticPr fontId="2" type="noConversion"/>
  </si>
  <si>
    <t>CI (non HOV)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</si>
  <si>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</si>
  <si>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</si>
  <si>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</si>
  <si>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</si>
  <si>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Optional</t>
    <phoneticPr fontId="2" type="noConversion"/>
  </si>
  <si>
    <t>Hypotheses...</t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</si>
  <si>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0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</si>
  <si>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r>
      <t>x</t>
    </r>
    <r>
      <rPr>
        <vertAlign val="subscript"/>
        <sz val="18"/>
        <color indexed="9"/>
        <rFont val="Times"/>
      </rPr>
      <t>17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</si>
  <si>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18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</si>
  <si>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</si>
  <si>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</si>
  <si>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>Condition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</si>
  <si>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</si>
  <si>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RW</t>
    <phoneticPr fontId="2" type="noConversion"/>
  </si>
  <si>
    <t>High Incentive)</t>
    <phoneticPr fontId="2" type="noConversion"/>
  </si>
  <si>
    <t>ANOVA</t>
    <phoneticPr fontId="2" type="noConversion"/>
  </si>
  <si>
    <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</si>
  <si>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</si>
  <si>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</si>
  <si>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</si>
  <si>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8"/>
        <rFont val="Times"/>
      </rPr>
      <t xml:space="preserve"> = </t>
    </r>
    <phoneticPr fontId="2" type="noConversion"/>
  </si>
  <si>
    <t>Red Wine</t>
    <phoneticPr fontId="2" type="noConversion"/>
  </si>
  <si>
    <t>White Wine</t>
    <phoneticPr fontId="2" type="noConversion"/>
  </si>
  <si>
    <t xml:space="preserve">Criterion F = </t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</si>
  <si>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</si>
  <si>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>Population SD of temperatures</t>
    <phoneticPr fontId="2" type="noConversion"/>
  </si>
  <si>
    <t>The data (sample)...</t>
    <phoneticPr fontId="2" type="noConversion"/>
  </si>
  <si>
    <r>
      <rPr>
        <sz val="12"/>
        <rFont val="Symbol"/>
      </rPr>
      <t>D</t>
    </r>
    <r>
      <rPr>
        <sz val="12"/>
        <rFont val="Times"/>
      </rPr>
      <t xml:space="preserve"> = </t>
    </r>
  </si>
  <si>
    <t>p(x)</t>
  </si>
  <si>
    <t>CONFIDENCE INTERVALS</t>
    <phoneticPr fontId="2" type="noConversion"/>
  </si>
  <si>
    <t>Obt t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</si>
  <si>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</si>
  <si>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8"/>
        <rFont val="Times"/>
      </rPr>
      <t>1Q</t>
    </r>
    <r>
      <rPr>
        <sz val="18"/>
        <color indexed="8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</si>
  <si>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8"/>
        <rFont val="Times"/>
      </rPr>
      <t>2Q</t>
    </r>
    <r>
      <rPr>
        <sz val="18"/>
        <color indexed="8"/>
        <rFont val="Times"/>
      </rPr>
      <t xml:space="preserve"> =</t>
    </r>
    <phoneticPr fontId="2" type="noConversion"/>
  </si>
  <si>
    <t>CI magnitude = ±</t>
    <phoneticPr fontId="2" type="noConversion"/>
  </si>
  <si>
    <t>CI high =</t>
    <phoneticPr fontId="2" type="noConversion"/>
  </si>
  <si>
    <t>Decision:</t>
    <phoneticPr fontId="2" type="noConversion"/>
  </si>
  <si>
    <t>CI high =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</si>
  <si>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</si>
  <si>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</t>
    </r>
    <phoneticPr fontId="2" type="noConversion"/>
  </si>
  <si>
    <t>The data (sample)...</t>
    <phoneticPr fontId="2" type="noConversion"/>
  </si>
  <si>
    <t>Temperature</t>
    <phoneticPr fontId="2" type="noConversion"/>
  </si>
  <si>
    <t>(required)</t>
    <phoneticPr fontId="2" type="noConversion"/>
  </si>
  <si>
    <r>
      <t>x</t>
    </r>
    <r>
      <rPr>
        <vertAlign val="subscript"/>
        <sz val="18"/>
        <color indexed="9"/>
        <rFont val="Times"/>
      </rPr>
      <t>14</t>
    </r>
    <r>
      <rPr>
        <sz val="18"/>
        <color indexed="9"/>
        <rFont val="Times"/>
      </rPr>
      <t xml:space="preserve"> =</t>
    </r>
    <phoneticPr fontId="2" type="noConversion"/>
  </si>
  <si>
    <t>CI percent =</t>
    <phoneticPr fontId="2" type="noConversion"/>
  </si>
  <si>
    <t>CI magnitude = ±</t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</si>
  <si>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</si>
  <si>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</si>
  <si>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t>Level 2: One-week delayed test</t>
    <phoneticPr fontId="2" type="noConversion"/>
  </si>
  <si>
    <t xml:space="preserve">M = </t>
    <phoneticPr fontId="2" type="noConversion"/>
  </si>
  <si>
    <r>
      <t>x</t>
    </r>
    <r>
      <rPr>
        <vertAlign val="subscript"/>
        <sz val="18"/>
        <color indexed="9"/>
        <rFont val="Times"/>
      </rPr>
      <t>113</t>
    </r>
    <r>
      <rPr>
        <sz val="18"/>
        <color indexed="9"/>
        <rFont val="Times"/>
      </rPr>
      <t xml:space="preserve"> =</t>
    </r>
    <phoneticPr fontId="2" type="noConversion"/>
  </si>
  <si>
    <t>Level 2:</t>
    <phoneticPr fontId="2" type="noConversion"/>
  </si>
  <si>
    <t>Level 3:</t>
    <phoneticPr fontId="2" type="noConversion"/>
  </si>
  <si>
    <t>Level 4:</t>
    <phoneticPr fontId="2" type="noConversion"/>
  </si>
  <si>
    <r>
      <t>m</t>
    </r>
    <r>
      <rPr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</si>
  <si>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vertAlign val="subscript"/>
        <sz val="16"/>
        <color indexed="9"/>
        <rFont val="Times"/>
      </rPr>
      <t>1</t>
    </r>
    <phoneticPr fontId="2" type="noConversion"/>
  </si>
  <si>
    <t xml:space="preserve">n = </t>
    <phoneticPr fontId="2" type="noConversion"/>
  </si>
  <si>
    <r>
      <t>s</t>
    </r>
    <r>
      <rPr>
        <sz val="16"/>
        <color indexed="9"/>
        <rFont val="Times"/>
      </rPr>
      <t xml:space="preserve"> = 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</si>
  <si>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4</t>
    </r>
    <phoneticPr fontId="2" type="noConversion"/>
  </si>
  <si>
    <t>NOTE: Obtained F is...</t>
    <phoneticPr fontId="2" type="noConversion"/>
  </si>
  <si>
    <t xml:space="preserve">Excel formula: </t>
    <phoneticPr fontId="2" type="noConversion"/>
  </si>
  <si>
    <r>
      <t>x</t>
    </r>
    <r>
      <rPr>
        <vertAlign val="subscript"/>
        <sz val="18"/>
        <color indexed="9"/>
        <rFont val="Times"/>
      </rPr>
      <t>34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</si>
  <si>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</si>
  <si>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</si>
  <si>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45</t>
    </r>
    <r>
      <rPr>
        <sz val="18"/>
        <color indexed="9"/>
        <rFont val="Times"/>
      </rPr>
      <t xml:space="preserve"> =</t>
    </r>
    <phoneticPr fontId="2" type="noConversion"/>
  </si>
  <si>
    <t>Btwn</t>
    <phoneticPr fontId="2" type="noConversion"/>
  </si>
  <si>
    <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</si>
  <si>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</si>
  <si>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dfW =</t>
    <phoneticPr fontId="2" type="noConversion"/>
  </si>
  <si>
    <t>MSW =</t>
    <phoneticPr fontId="2" type="noConversion"/>
  </si>
  <si>
    <t>CIs: HOV</t>
    <phoneticPr fontId="2" type="noConversion"/>
  </si>
  <si>
    <t xml:space="preserve">CI = ±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</si>
  <si>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</si>
  <si>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 xml:space="preserve">    H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&gt;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N</t>
    </r>
    <phoneticPr fontId="2" type="noConversion"/>
  </si>
  <si>
    <t>(implies one-tailed test)</t>
    <phoneticPr fontId="2" type="noConversion"/>
  </si>
  <si>
    <r>
      <t xml:space="preserve">Reality: The </t>
    </r>
    <r>
      <rPr>
        <sz val="30"/>
        <color indexed="9"/>
        <rFont val="Symbol"/>
      </rPr>
      <t>m</t>
    </r>
    <r>
      <rPr>
        <sz val="30"/>
        <color indexed="9"/>
        <rFont val="Times"/>
      </rPr>
      <t>'s</t>
    </r>
    <phoneticPr fontId="2" type="noConversion"/>
  </si>
  <si>
    <t>Level 1: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</si>
  <si>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</si>
  <si>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</si>
  <si>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 xml:space="preserve">actual </t>
    </r>
    <r>
      <rPr>
        <sz val="16"/>
        <rFont val="Symbol"/>
      </rPr>
      <t>s</t>
    </r>
    <r>
      <rPr>
        <vertAlign val="superscript"/>
        <sz val="16"/>
        <rFont val="Times"/>
      </rPr>
      <t>2</t>
    </r>
    <r>
      <rPr>
        <sz val="16"/>
        <rFont val="Times"/>
      </rPr>
      <t xml:space="preserve"> = </t>
    </r>
    <phoneticPr fontId="2" type="noConversion"/>
  </si>
  <si>
    <r>
      <t xml:space="preserve">MSB = est </t>
    </r>
    <r>
      <rPr>
        <sz val="16"/>
        <rFont val="Symbol"/>
      </rPr>
      <t>s</t>
    </r>
    <r>
      <rPr>
        <vertAlign val="superscript"/>
        <sz val="16"/>
        <rFont val="Times"/>
      </rPr>
      <t>2</t>
    </r>
    <r>
      <rPr>
        <sz val="16"/>
        <rFont val="Times"/>
      </rPr>
      <t xml:space="preserve"> from between groups = </t>
    </r>
    <phoneticPr fontId="2" type="noConversion"/>
  </si>
  <si>
    <t>Condition 4</t>
    <phoneticPr fontId="2" type="noConversion"/>
  </si>
  <si>
    <t>Condition 3</t>
    <phoneticPr fontId="2" type="noConversion"/>
  </si>
  <si>
    <t>Condition 2</t>
    <phoneticPr fontId="2" type="noConversion"/>
  </si>
  <si>
    <t>Condition 1</t>
    <phoneticPr fontId="2" type="noConversion"/>
  </si>
  <si>
    <r>
      <t>x</t>
    </r>
    <r>
      <rPr>
        <vertAlign val="subscript"/>
        <sz val="18"/>
        <color indexed="9"/>
        <rFont val="Times"/>
      </rPr>
      <t>13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</si>
  <si>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</si>
  <si>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</t>
    </r>
    <phoneticPr fontId="2" type="noConversion"/>
  </si>
  <si>
    <r>
      <t>x</t>
    </r>
    <r>
      <rPr>
        <vertAlign val="subscript"/>
        <sz val="18"/>
        <color indexed="9"/>
        <rFont val="Times"/>
      </rPr>
      <t>2</t>
    </r>
    <phoneticPr fontId="2" type="noConversion"/>
  </si>
  <si>
    <t>x =</t>
    <phoneticPr fontId="2" type="noConversion"/>
  </si>
  <si>
    <r>
      <t>CI around M</t>
    </r>
    <r>
      <rPr>
        <vertAlign val="subscript"/>
        <sz val="18"/>
        <color indexed="9"/>
        <rFont val="Times"/>
      </rPr>
      <t>jk</t>
    </r>
    <r>
      <rPr>
        <sz val="18"/>
        <color indexed="9"/>
        <rFont val="Times"/>
      </rPr>
      <t>'s (HOV):</t>
    </r>
    <phoneticPr fontId="2" type="noConversion"/>
  </si>
  <si>
    <r>
      <t>x</t>
    </r>
    <r>
      <rPr>
        <vertAlign val="subscript"/>
        <sz val="18"/>
        <color indexed="9"/>
        <rFont val="Times"/>
      </rPr>
      <t>26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</si>
  <si>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17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</si>
  <si>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27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</si>
  <si>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18</t>
    </r>
    <r>
      <rPr>
        <sz val="18"/>
        <color indexed="9"/>
        <rFont val="Times"/>
      </rPr>
      <t xml:space="preserve"> =</t>
    </r>
    <phoneticPr fontId="2" type="noConversion"/>
  </si>
  <si>
    <r>
      <t>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 =</t>
    </r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</si>
  <si>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</si>
  <si>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</si>
  <si>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</si>
  <si>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</si>
  <si>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</t>
    </r>
    <r>
      <rPr>
        <sz val="18"/>
        <color indexed="9"/>
        <rFont val="Times"/>
      </rPr>
      <t xml:space="preserve"> =</t>
    </r>
    <phoneticPr fontId="2" type="noConversion"/>
  </si>
  <si>
    <t>N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</si>
  <si>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</si>
  <si>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</si>
  <si>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</si>
  <si>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</si>
  <si>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221</t>
    </r>
    <r>
      <rPr>
        <sz val="18"/>
        <color indexed="9"/>
        <rFont val="Times"/>
      </rPr>
      <t xml:space="preserve"> =</t>
    </r>
    <phoneticPr fontId="2" type="noConversion"/>
  </si>
  <si>
    <r>
      <t>Nondirectional H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≠ 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</si>
  <si>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 xml:space="preserve"> 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/est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if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&gt;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</si>
  <si>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 xml:space="preserve"> 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>/est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if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&gt;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</si>
  <si>
    <r>
      <t xml:space="preserve">  FINV(</t>
    </r>
    <r>
      <rPr>
        <sz val="18"/>
        <color indexed="9"/>
        <rFont val="Symbol"/>
      </rPr>
      <t>a</t>
    </r>
    <r>
      <rPr>
        <sz val="18"/>
        <color indexed="9"/>
        <rFont val="Times"/>
      </rPr>
      <t>/2, df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, df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>) if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&gt;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</si>
  <si>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 xml:space="preserve">  FINV(</t>
    </r>
    <r>
      <rPr>
        <sz val="18"/>
        <color indexed="9"/>
        <rFont val="Symbol"/>
      </rPr>
      <t>a</t>
    </r>
    <r>
      <rPr>
        <sz val="18"/>
        <color indexed="9"/>
        <rFont val="Times"/>
      </rPr>
      <t>/2, df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>, df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 if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&gt;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</si>
  <si>
    <r>
      <t>Directional H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&gt; 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</si>
  <si>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>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 =</t>
    </r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</si>
  <si>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</si>
  <si>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</si>
  <si>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</si>
  <si>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</si>
  <si>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= M</t>
    </r>
    <r>
      <rPr>
        <vertAlign val="subscript"/>
        <sz val="18"/>
        <color indexed="9"/>
        <rFont val="Times"/>
      </rPr>
      <t>2</t>
    </r>
    <phoneticPr fontId="2" type="noConversion"/>
  </si>
  <si>
    <t>crit t =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</si>
  <si>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Mjk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</si>
  <si>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</si>
  <si>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r>
      <t>x</t>
    </r>
    <r>
      <rPr>
        <vertAlign val="subscript"/>
        <sz val="18"/>
        <color indexed="9"/>
        <rFont val="Times"/>
      </rPr>
      <t>123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</si>
  <si>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</si>
  <si>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</si>
  <si>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</si>
  <si>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124</t>
    </r>
    <r>
      <rPr>
        <sz val="18"/>
        <color indexed="9"/>
        <rFont val="Times"/>
      </rPr>
      <t xml:space="preserve"> =</t>
    </r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</si>
  <si>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1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&gt;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</si>
  <si>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t>(implies one-tailed test)</t>
    <phoneticPr fontId="2" type="noConversion"/>
  </si>
  <si>
    <r>
      <t xml:space="preserve">    H</t>
    </r>
    <r>
      <rPr>
        <vertAlign val="subscript"/>
        <sz val="18"/>
        <color indexed="9"/>
        <rFont val="Times"/>
      </rPr>
      <t>0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=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N</t>
    </r>
    <phoneticPr fontId="2" type="noConversion"/>
  </si>
  <si>
    <t>V</t>
    <phoneticPr fontId="2" type="noConversion"/>
  </si>
  <si>
    <r>
      <t>n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  <phoneticPr fontId="2" type="noConversion"/>
  </si>
  <si>
    <t>Totals:</t>
    <phoneticPr fontId="2" type="noConversion"/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</si>
  <si>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</si>
  <si>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</si>
  <si>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</si>
  <si>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</si>
  <si>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T =</t>
    <phoneticPr fontId="2" type="noConversion"/>
  </si>
  <si>
    <t>Means: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</si>
  <si>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</si>
  <si>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</si>
  <si>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</si>
  <si>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t>Population SD of temperatures</t>
    <phoneticPr fontId="2" type="noConversion"/>
  </si>
  <si>
    <t>Between</t>
    <phoneticPr fontId="2" type="noConversion"/>
  </si>
  <si>
    <t>Within</t>
    <phoneticPr fontId="2" type="noConversion"/>
  </si>
  <si>
    <t>Total</t>
    <phoneticPr fontId="2" type="noConversion"/>
  </si>
  <si>
    <t>For graph:</t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</si>
  <si>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</si>
  <si>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</si>
  <si>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t>1%</t>
    <phoneticPr fontId="2" type="noConversion"/>
  </si>
  <si>
    <t>CI</t>
    <phoneticPr fontId="2" type="noConversion"/>
  </si>
  <si>
    <t>SS</t>
    <phoneticPr fontId="2" type="noConversion"/>
  </si>
  <si>
    <t>MS</t>
    <phoneticPr fontId="2" type="noConversion"/>
  </si>
  <si>
    <t>Obt F</t>
    <phoneticPr fontId="2" type="noConversion"/>
  </si>
  <si>
    <t>HYPOTHESIS TESTING</t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</si>
  <si>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</si>
  <si>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sz val="18"/>
        <color indexed="8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</si>
  <si>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</si>
  <si>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</si>
  <si>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t>The real world...</t>
    <phoneticPr fontId="2" type="noConversion"/>
  </si>
  <si>
    <t>Testing Homogeneity of Variance</t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</si>
  <si>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</si>
  <si>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</si>
  <si>
    <r>
      <t>df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</si>
  <si>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</si>
  <si>
    <r>
      <t>SS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</si>
  <si>
    <r>
      <t>SS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</si>
  <si>
    <r>
      <t>df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</si>
  <si>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</si>
  <si>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</si>
  <si>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</si>
  <si>
    <r>
      <t>df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</si>
  <si>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</si>
  <si>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Between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</si>
  <si>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Within</t>
    </r>
    <r>
      <rPr>
        <sz val="18"/>
        <rFont val="Times"/>
      </rPr>
      <t xml:space="preserve"> = </t>
    </r>
  </si>
  <si>
    <t xml:space="preserve"> =</t>
  </si>
  <si>
    <r>
      <t>x</t>
    </r>
    <r>
      <rPr>
        <vertAlign val="subscript"/>
        <sz val="18"/>
        <color indexed="9"/>
        <rFont val="Times"/>
      </rPr>
      <t>211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</si>
  <si>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311</t>
    </r>
    <r>
      <rPr>
        <sz val="18"/>
        <color indexed="9"/>
        <rFont val="Times"/>
      </rPr>
      <t xml:space="preserve"> =</t>
    </r>
    <phoneticPr fontId="2" type="noConversion"/>
  </si>
  <si>
    <t>Decision</t>
    <phoneticPr fontId="2" type="noConversion"/>
  </si>
  <si>
    <r>
      <t>m</t>
    </r>
    <r>
      <rPr>
        <vertAlign val="subscript"/>
        <sz val="18"/>
        <color indexed="9"/>
        <rFont val="Times"/>
      </rPr>
      <t>X2-X1</t>
    </r>
    <phoneticPr fontId="2" type="noConversion"/>
  </si>
  <si>
    <r>
      <t>M</t>
    </r>
    <r>
      <rPr>
        <vertAlign val="subscript"/>
        <sz val="18"/>
        <color indexed="9"/>
        <rFont val="Times"/>
      </rPr>
      <t>X2-X1</t>
    </r>
    <phoneticPr fontId="2" type="noConversion"/>
  </si>
  <si>
    <r>
      <t>m</t>
    </r>
    <r>
      <rPr>
        <vertAlign val="subscript"/>
        <sz val="18"/>
        <color indexed="9"/>
        <rFont val="Times"/>
      </rPr>
      <t>TS</t>
    </r>
    <phoneticPr fontId="2" type="noConversion"/>
  </si>
  <si>
    <r>
      <t>M</t>
    </r>
    <r>
      <rPr>
        <vertAlign val="subscript"/>
        <sz val="18"/>
        <color indexed="9"/>
        <rFont val="Times"/>
      </rPr>
      <t>TS</t>
    </r>
    <phoneticPr fontId="2" type="noConversion"/>
  </si>
  <si>
    <t xml:space="preserve">Obtained F = </t>
    <phoneticPr fontId="2" type="noConversion"/>
  </si>
  <si>
    <t>Relearning Condtion</t>
    <phoneticPr fontId="2" type="noConversion"/>
  </si>
  <si>
    <t>Control</t>
    <phoneticPr fontId="2" type="noConversion"/>
  </si>
  <si>
    <t>HYPOTHESIS TESTING</t>
    <phoneticPr fontId="2" type="noConversion"/>
  </si>
  <si>
    <t>$10/word</t>
    <phoneticPr fontId="2" type="noConversion"/>
  </si>
  <si>
    <t>Obt t =</t>
    <phoneticPr fontId="2" type="noConversion"/>
  </si>
  <si>
    <t>CONFIDENCE INTERVAL</t>
    <phoneticPr fontId="2" type="noConversion"/>
  </si>
  <si>
    <t>For Graph:</t>
    <phoneticPr fontId="2" type="noConversion"/>
  </si>
  <si>
    <r>
      <t>MSW =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</si>
  <si>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>CI low =</t>
    <phoneticPr fontId="2" type="noConversion"/>
  </si>
  <si>
    <t xml:space="preserve">M = </t>
    <phoneticPr fontId="2" type="noConversion"/>
  </si>
  <si>
    <t>CALCULATIONS</t>
    <phoneticPr fontId="2" type="noConversion"/>
  </si>
  <si>
    <t>CI high =</t>
    <phoneticPr fontId="2" type="noConversion"/>
  </si>
  <si>
    <t>crit t =</t>
    <phoneticPr fontId="2" type="noConversion"/>
  </si>
  <si>
    <t xml:space="preserve">CI = ± 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</si>
  <si>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</si>
  <si>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t>M =</t>
    <phoneticPr fontId="2" type="noConversion"/>
  </si>
  <si>
    <t xml:space="preserve">df = </t>
    <phoneticPr fontId="2" type="noConversion"/>
  </si>
  <si>
    <t>required</t>
    <phoneticPr fontId="2" type="noConversion"/>
  </si>
  <si>
    <t>How to generate data</t>
    <phoneticPr fontId="2" type="noConversion"/>
  </si>
  <si>
    <t xml:space="preserve">T = </t>
    <phoneticPr fontId="2" type="noConversion"/>
  </si>
  <si>
    <r>
      <t>M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</si>
  <si>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</si>
  <si>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</si>
  <si>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</si>
  <si>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</si>
  <si>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313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</si>
  <si>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</si>
  <si>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114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</si>
  <si>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</si>
  <si>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314</t>
    </r>
    <r>
      <rPr>
        <sz val="18"/>
        <color indexed="9"/>
        <rFont val="Times"/>
      </rPr>
      <t xml:space="preserve"> =</t>
    </r>
    <phoneticPr fontId="2" type="noConversion"/>
  </si>
  <si>
    <r>
      <t>df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</si>
  <si>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</si>
  <si>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414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</si>
  <si>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115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</si>
  <si>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</si>
  <si>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</si>
  <si>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415</t>
    </r>
    <r>
      <rPr>
        <sz val="18"/>
        <color indexed="9"/>
        <rFont val="Times"/>
      </rPr>
      <t xml:space="preserve"> =</t>
    </r>
    <phoneticPr fontId="2" type="noConversion"/>
  </si>
  <si>
    <t xml:space="preserve">n = </t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</si>
  <si>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</si>
  <si>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 xml:space="preserve">= actual </t>
    </r>
    <r>
      <rPr>
        <sz val="18"/>
        <color indexed="9"/>
        <rFont val="Symbol"/>
      </rPr>
      <t>s</t>
    </r>
    <phoneticPr fontId="2" type="noConversion"/>
  </si>
  <si>
    <t xml:space="preserve">Crit t = </t>
    <phoneticPr fontId="2" type="noConversion"/>
  </si>
  <si>
    <t>SS =</t>
    <phoneticPr fontId="2" type="noConversion"/>
  </si>
  <si>
    <t>df =</t>
    <phoneticPr fontId="2" type="noConversion"/>
  </si>
  <si>
    <r>
      <t>= (M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-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>)/est</t>
    </r>
    <r>
      <rPr>
        <sz val="18"/>
        <color indexed="8"/>
        <rFont val="Symbol"/>
      </rPr>
      <t>s</t>
    </r>
    <r>
      <rPr>
        <vertAlign val="subscript"/>
        <sz val="18"/>
        <color indexed="8"/>
        <rFont val="Times"/>
      </rPr>
      <t>M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</si>
  <si>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3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</si>
  <si>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</si>
  <si>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1</t>
    </r>
    <phoneticPr fontId="2" type="noConversion"/>
  </si>
  <si>
    <r>
      <t>s</t>
    </r>
    <r>
      <rPr>
        <vertAlign val="superscript"/>
        <sz val="16"/>
        <color indexed="9"/>
        <rFont val="Times"/>
      </rPr>
      <t>2</t>
    </r>
    <r>
      <rPr>
        <sz val="16"/>
        <color indexed="9"/>
        <rFont val="Times"/>
      </rPr>
      <t xml:space="preserve"> = 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</si>
  <si>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4</t>
    </r>
    <phoneticPr fontId="2" type="noConversion"/>
  </si>
  <si>
    <r>
      <t>s</t>
    </r>
    <r>
      <rPr>
        <vertAlign val="subscript"/>
        <sz val="16"/>
        <color indexed="9"/>
        <rFont val="Times"/>
      </rPr>
      <t>M</t>
    </r>
    <r>
      <rPr>
        <sz val="16"/>
        <color indexed="9"/>
        <rFont val="Times"/>
      </rPr>
      <t xml:space="preserve"> = </t>
    </r>
    <phoneticPr fontId="2" type="noConversion"/>
  </si>
  <si>
    <t xml:space="preserve">ratio = </t>
    <phoneticPr fontId="2" type="noConversion"/>
  </si>
  <si>
    <t>Condition 3</t>
    <phoneticPr fontId="2" type="noConversion"/>
  </si>
  <si>
    <r>
      <t>T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</si>
  <si>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</si>
  <si>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</si>
  <si>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</si>
  <si>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t>CxR</t>
    <phoneticPr fontId="2" type="noConversion"/>
  </si>
  <si>
    <t>Within</t>
    <phoneticPr fontId="2" type="noConversion"/>
  </si>
  <si>
    <t>Total</t>
    <phoneticPr fontId="2" type="noConversion"/>
  </si>
  <si>
    <r>
      <t>x</t>
    </r>
    <r>
      <rPr>
        <vertAlign val="subscript"/>
        <sz val="18"/>
        <color indexed="9"/>
        <rFont val="Times"/>
      </rPr>
      <t>24</t>
    </r>
    <r>
      <rPr>
        <sz val="18"/>
        <color indexed="9"/>
        <rFont val="Times"/>
      </rPr>
      <t xml:space="preserve"> =</t>
    </r>
    <phoneticPr fontId="2" type="noConversion"/>
  </si>
  <si>
    <t>(Low Incentive)</t>
    <phoneticPr fontId="2" type="noConversion"/>
  </si>
  <si>
    <t xml:space="preserve">Obt t = </t>
    <phoneticPr fontId="2" type="noConversion"/>
  </si>
  <si>
    <t>Factor 2: Delay Interval</t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</si>
  <si>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</si>
  <si>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>Amount of incentive</t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</si>
  <si>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</si>
  <si>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t>Crit F</t>
    <phoneticPr fontId="2" type="noConversion"/>
  </si>
  <si>
    <t>Cols</t>
    <phoneticPr fontId="2" type="noConversion"/>
  </si>
  <si>
    <t>Rows</t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</si>
  <si>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</si>
  <si>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</si>
  <si>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</si>
  <si>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</si>
  <si>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</si>
  <si>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25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</si>
  <si>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16</t>
    </r>
    <r>
      <rPr>
        <sz val="18"/>
        <color indexed="9"/>
        <rFont val="Times"/>
      </rPr>
      <t xml:space="preserve"> =</t>
    </r>
    <phoneticPr fontId="2" type="noConversion"/>
  </si>
  <si>
    <t>T =</t>
    <phoneticPr fontId="2" type="noConversion"/>
  </si>
  <si>
    <t xml:space="preserve">Upper: </t>
    <phoneticPr fontId="2" type="noConversion"/>
  </si>
  <si>
    <t xml:space="preserve">Lower: 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</si>
  <si>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(M2-M1)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</si>
  <si>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28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</si>
  <si>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</si>
  <si>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</si>
  <si>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t>30%</t>
    <phoneticPr fontId="2" type="noConversion"/>
  </si>
  <si>
    <t>45%</t>
    <phoneticPr fontId="2" type="noConversion"/>
  </si>
  <si>
    <r>
      <t>x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</si>
  <si>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</si>
  <si>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</si>
  <si>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</t>
    </r>
    <phoneticPr fontId="2" type="noConversion"/>
  </si>
  <si>
    <r>
      <t>= sqrt(est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)</t>
    </r>
    <phoneticPr fontId="2" type="noConversion"/>
  </si>
  <si>
    <r>
      <t>T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</si>
  <si>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</si>
  <si>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</si>
  <si>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</si>
  <si>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</si>
  <si>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t>(optional)</t>
    <phoneticPr fontId="2" type="noConversion"/>
  </si>
  <si>
    <t>CI low =</t>
    <phoneticPr fontId="2" type="noConversion"/>
  </si>
  <si>
    <r>
      <t>s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</si>
  <si>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sz val="18"/>
        <color indexed="9"/>
        <rFont val="Times"/>
      </rPr>
      <t>'s</t>
    </r>
    <phoneticPr fontId="2" type="noConversion"/>
  </si>
  <si>
    <r>
      <t>s</t>
    </r>
    <r>
      <rPr>
        <sz val="18"/>
        <color indexed="9"/>
        <rFont val="Times"/>
      </rPr>
      <t xml:space="preserve"> (person) =</t>
    </r>
    <phoneticPr fontId="2" type="noConversion"/>
  </si>
  <si>
    <t>K =</t>
    <phoneticPr fontId="2" type="noConversion"/>
  </si>
  <si>
    <r>
      <t>n</t>
    </r>
    <r>
      <rPr>
        <vertAlign val="subscript"/>
        <sz val="18"/>
        <color indexed="9"/>
        <rFont val="Times"/>
      </rPr>
      <t>C</t>
    </r>
    <r>
      <rPr>
        <sz val="18"/>
        <color indexed="9"/>
        <rFont val="Times"/>
      </rPr>
      <t xml:space="preserve"> = </t>
    </r>
    <phoneticPr fontId="2" type="noConversion"/>
  </si>
  <si>
    <r>
      <t>n</t>
    </r>
    <r>
      <rPr>
        <vertAlign val="subscript"/>
        <sz val="18"/>
        <color indexed="9"/>
        <rFont val="Times"/>
      </rPr>
      <t>R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</si>
  <si>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321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</si>
  <si>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</si>
  <si>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</si>
  <si>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222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</si>
  <si>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</si>
  <si>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</si>
  <si>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t>Person</t>
    <phoneticPr fontId="2" type="noConversion"/>
  </si>
  <si>
    <t>Temperature</t>
    <phoneticPr fontId="2" type="noConversion"/>
  </si>
  <si>
    <t>= n-1</t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</si>
  <si>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-T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</si>
  <si>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t>= SS/df</t>
    <phoneticPr fontId="2" type="noConversion"/>
  </si>
  <si>
    <t>crit t =</t>
    <phoneticPr fontId="2" type="noConversion"/>
  </si>
  <si>
    <t>Degradation</t>
    <phoneticPr fontId="2" type="noConversion"/>
  </si>
  <si>
    <r>
      <t>m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</si>
  <si>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t>CIs: HOV</t>
    <phoneticPr fontId="2" type="noConversion"/>
  </si>
  <si>
    <t xml:space="preserve">J = </t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</si>
  <si>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</si>
  <si>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t>Factor 2: Delay Interval</t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</si>
  <si>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</si>
  <si>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</si>
  <si>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</si>
  <si>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</si>
  <si>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322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</si>
  <si>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</si>
  <si>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</si>
  <si>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</si>
  <si>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</si>
  <si>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</si>
  <si>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</si>
  <si>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224</t>
    </r>
    <r>
      <rPr>
        <sz val="18"/>
        <color indexed="9"/>
        <rFont val="Times"/>
      </rPr>
      <t xml:space="preserve"> =</t>
    </r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</si>
  <si>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</si>
  <si>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</si>
  <si>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</si>
  <si>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</si>
  <si>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 xml:space="preserve"> = </t>
    </r>
    <phoneticPr fontId="2" type="noConversion"/>
  </si>
  <si>
    <r>
      <t>NOTE: Obtained F is always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/est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</si>
  <si>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>Excel formula: FINV(</t>
    </r>
    <r>
      <rPr>
        <sz val="18"/>
        <color indexed="9"/>
        <rFont val="Symbol"/>
      </rPr>
      <t>a</t>
    </r>
    <r>
      <rPr>
        <sz val="18"/>
        <color indexed="9"/>
        <rFont val="Times"/>
      </rPr>
      <t>, df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, df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>)</t>
    </r>
  </si>
  <si>
    <r>
      <t>a</t>
    </r>
    <r>
      <rPr>
        <sz val="18"/>
        <color indexed="9"/>
        <rFont val="Times"/>
      </rPr>
      <t xml:space="preserve"> =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</si>
</sst>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.00_);_(&quot;$&quot;* \(#,##0.00\);_(&quot;$&quot;* &quot;-&quot;??_);_(@_)"/>
    <numFmt numFmtId="169" formatCode="0.000"/>
    <numFmt numFmtId="170" formatCode="#,##0.0"/>
    <numFmt numFmtId="171" formatCode="#,##0.000"/>
    <numFmt numFmtId="172" formatCode="0.0"/>
  </numFmts>
  <fonts count="50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vertAlign val="subscript"/>
      <sz val="18"/>
      <name val="Times"/>
    </font>
    <font>
      <sz val="18"/>
      <name val="Symbol"/>
    </font>
    <font>
      <vertAlign val="superscript"/>
      <sz val="18"/>
      <name val="Times"/>
    </font>
    <font>
      <sz val="18"/>
      <color indexed="13"/>
      <name val="Times"/>
    </font>
    <font>
      <sz val="24"/>
      <color indexed="9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13"/>
      <name val="Times"/>
    </font>
    <font>
      <vertAlign val="subscript"/>
      <sz val="18"/>
      <color indexed="9"/>
      <name val="Verdana"/>
    </font>
    <font>
      <sz val="18"/>
      <color indexed="8"/>
      <name val="Times"/>
    </font>
    <font>
      <sz val="30"/>
      <color indexed="9"/>
      <name val="Symbol"/>
    </font>
    <font>
      <sz val="30"/>
      <color indexed="9"/>
      <name val="Times"/>
    </font>
    <font>
      <sz val="18"/>
      <color indexed="8"/>
      <name val="Symbol"/>
    </font>
    <font>
      <sz val="24"/>
      <color indexed="8"/>
      <name val="Times"/>
    </font>
    <font>
      <vertAlign val="subscript"/>
      <sz val="18"/>
      <color indexed="8"/>
      <name val="Times"/>
    </font>
    <font>
      <u/>
      <sz val="18"/>
      <color indexed="8"/>
      <name val="Times"/>
    </font>
    <font>
      <vertAlign val="superscript"/>
      <sz val="18"/>
      <color indexed="8"/>
      <name val="Times"/>
    </font>
    <font>
      <u/>
      <sz val="40"/>
      <color indexed="8"/>
      <name val="Times"/>
    </font>
    <font>
      <sz val="12"/>
      <name val="Times"/>
    </font>
    <font>
      <sz val="12"/>
      <name val="Symbol"/>
    </font>
    <font>
      <vertAlign val="subscript"/>
      <sz val="12"/>
      <name val="Times"/>
    </font>
    <font>
      <sz val="16"/>
      <name val="Times"/>
    </font>
    <font>
      <sz val="16"/>
      <name val="Symbol"/>
    </font>
    <font>
      <vertAlign val="superscript"/>
      <sz val="16"/>
      <name val="Times"/>
    </font>
    <font>
      <sz val="24"/>
      <name val="Times"/>
    </font>
    <font>
      <vertAlign val="subscript"/>
      <sz val="24"/>
      <name val="Times"/>
    </font>
    <font>
      <sz val="24"/>
      <name val="Symbol"/>
    </font>
    <font>
      <vertAlign val="superscript"/>
      <sz val="24"/>
      <name val="Times"/>
    </font>
    <font>
      <sz val="16"/>
      <color indexed="9"/>
      <name val="Symbol"/>
    </font>
    <font>
      <vertAlign val="subscript"/>
      <sz val="16"/>
      <color indexed="9"/>
      <name val="Times"/>
    </font>
    <font>
      <sz val="16"/>
      <color indexed="9"/>
      <name val="Times"/>
    </font>
    <font>
      <b/>
      <sz val="16"/>
      <color indexed="9"/>
      <name val="Times"/>
    </font>
    <font>
      <b/>
      <vertAlign val="subscript"/>
      <sz val="16"/>
      <color indexed="9"/>
      <name val="Times"/>
    </font>
    <font>
      <vertAlign val="superscript"/>
      <sz val="16"/>
      <color indexed="9"/>
      <name val="Times"/>
    </font>
    <font>
      <sz val="18"/>
      <name val="Times"/>
    </font>
    <font>
      <u/>
      <sz val="18"/>
      <name val="Times"/>
    </font>
    <font>
      <sz val="18"/>
      <name val="Times"/>
    </font>
    <font>
      <u/>
      <sz val="18"/>
      <color indexed="12"/>
      <name val="Times"/>
    </font>
    <font>
      <u/>
      <sz val="18"/>
      <color indexed="20"/>
      <name val="Times"/>
    </font>
    <font>
      <sz val="18"/>
      <color indexed="9"/>
      <name val="Times"/>
    </font>
    <font>
      <sz val="18"/>
      <color indexed="9"/>
      <name val="Symbol"/>
    </font>
    <font>
      <sz val="18"/>
      <color indexed="13"/>
      <name val="Times"/>
    </font>
    <font>
      <sz val="36"/>
      <name val="Times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thick">
        <color indexed="9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/>
      <right style="medium">
        <color auto="1"/>
      </right>
      <top style="medium">
        <color auto="1"/>
      </top>
      <bottom style="thin">
        <color indexed="9"/>
      </bottom>
      <diagonal/>
    </border>
  </borders>
  <cellStyleXfs count="5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44" fillId="0" borderId="0" applyNumberFormat="0" applyFill="0" applyBorder="0" applyAlignment="0" applyProtection="0">
      <alignment horizontal="center" vertical="center"/>
    </xf>
    <xf numFmtId="4" fontId="45" fillId="0" borderId="0" applyNumberFormat="0" applyFill="0" applyBorder="0" applyAlignment="0" applyProtection="0">
      <alignment horizontal="center" vertical="center"/>
    </xf>
  </cellStyleXfs>
  <cellXfs count="478">
    <xf numFmtId="4" fontId="0" fillId="0" borderId="0" xfId="0">
      <alignment horizontal="center" vertical="center"/>
    </xf>
    <xf numFmtId="4" fontId="3" fillId="0" borderId="0" xfId="0" applyFont="1">
      <alignment horizontal="center" vertical="center"/>
    </xf>
    <xf numFmtId="4" fontId="0" fillId="0" borderId="0" xfId="0" applyAlignment="1">
      <alignment horizontal="right" vertical="center"/>
    </xf>
    <xf numFmtId="4" fontId="5" fillId="0" borderId="0" xfId="0" applyFont="1" applyAlignment="1">
      <alignment horizontal="right" vertical="center"/>
    </xf>
    <xf numFmtId="4" fontId="0" fillId="0" borderId="0" xfId="0" quotePrefix="1" applyAlignment="1">
      <alignment horizontal="left" vertical="center"/>
    </xf>
    <xf numFmtId="4" fontId="0" fillId="0" borderId="0" xfId="0" applyAlignment="1">
      <alignment horizontal="center" vertical="center"/>
    </xf>
    <xf numFmtId="4" fontId="3" fillId="0" borderId="0" xfId="0" applyFont="1" applyAlignment="1">
      <alignment horizontal="right" vertical="center"/>
    </xf>
    <xf numFmtId="4" fontId="3" fillId="0" borderId="0" xfId="0" applyFont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4" fontId="3" fillId="0" borderId="0" xfId="0" applyFont="1" applyBorder="1" applyAlignment="1">
      <alignment horizontal="right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vertical="center"/>
    </xf>
    <xf numFmtId="4" fontId="3" fillId="0" borderId="0" xfId="0" applyFont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 vertical="center"/>
    </xf>
    <xf numFmtId="4" fontId="0" fillId="0" borderId="0" xfId="0" applyBorder="1" applyAlignment="1">
      <alignment horizontal="right" vertical="center"/>
    </xf>
    <xf numFmtId="171" fontId="3" fillId="0" borderId="0" xfId="0" applyNumberFormat="1" applyFont="1" applyBorder="1" applyAlignment="1">
      <alignment horizontal="left" vertical="center"/>
    </xf>
    <xf numFmtId="4" fontId="3" fillId="0" borderId="0" xfId="0" applyFont="1" applyAlignment="1">
      <alignment horizontal="center" vertical="center"/>
    </xf>
    <xf numFmtId="4" fontId="0" fillId="2" borderId="0" xfId="0" applyFill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Font="1" applyBorder="1" applyAlignment="1">
      <alignment horizontal="center" vertical="center"/>
    </xf>
    <xf numFmtId="4" fontId="0" fillId="0" borderId="0" xfId="0" applyFill="1" applyBorder="1" applyAlignment="1">
      <alignment horizontal="right" vertical="center"/>
    </xf>
    <xf numFmtId="4" fontId="0" fillId="2" borderId="0" xfId="0" applyFill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4" fontId="3" fillId="0" borderId="0" xfId="0" applyFont="1" applyFill="1" applyBorder="1" applyAlignment="1">
      <alignment horizontal="center" vertical="center"/>
    </xf>
    <xf numFmtId="4" fontId="0" fillId="0" borderId="0" xfId="0" applyAlignment="1">
      <alignment horizontal="left" vertical="center"/>
    </xf>
    <xf numFmtId="4" fontId="0" fillId="0" borderId="0" xfId="0" applyBorder="1" applyAlignment="1">
      <alignment horizontal="center" vertical="center"/>
    </xf>
    <xf numFmtId="4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3" fillId="0" borderId="0" xfId="0" applyFont="1" applyAlignment="1">
      <alignment vertical="center" wrapText="1"/>
    </xf>
    <xf numFmtId="4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4" fontId="3" fillId="0" borderId="0" xfId="0" applyFont="1" applyAlignment="1">
      <alignment horizontal="center" vertical="center"/>
    </xf>
    <xf numFmtId="4" fontId="0" fillId="0" borderId="0" xfId="0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Alignment="1">
      <alignment horizontal="left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2" fillId="3" borderId="0" xfId="0" applyFont="1" applyFill="1" applyAlignment="1">
      <alignment horizontal="left" vertical="center"/>
    </xf>
    <xf numFmtId="4" fontId="9" fillId="3" borderId="0" xfId="0" applyFont="1" applyFill="1" applyAlignment="1">
      <alignment horizontal="center" vertical="center"/>
    </xf>
    <xf numFmtId="4" fontId="9" fillId="3" borderId="0" xfId="0" applyFont="1" applyFill="1" applyAlignment="1">
      <alignment horizontal="right" vertical="center"/>
    </xf>
    <xf numFmtId="172" fontId="9" fillId="3" borderId="0" xfId="0" applyNumberFormat="1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 vertical="center"/>
    </xf>
    <xf numFmtId="170" fontId="9" fillId="3" borderId="0" xfId="0" applyNumberFormat="1" applyFont="1" applyFill="1" applyAlignment="1">
      <alignment horizontal="right" vertical="center"/>
    </xf>
    <xf numFmtId="171" fontId="9" fillId="3" borderId="0" xfId="0" applyNumberFormat="1" applyFont="1" applyFill="1" applyAlignment="1">
      <alignment horizontal="center" vertical="center"/>
    </xf>
    <xf numFmtId="3" fontId="9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center" vertical="center"/>
    </xf>
    <xf numFmtId="169" fontId="9" fillId="3" borderId="0" xfId="0" applyNumberFormat="1" applyFont="1" applyFill="1" applyAlignment="1">
      <alignment horizontal="center" vertical="center"/>
    </xf>
    <xf numFmtId="4" fontId="9" fillId="0" borderId="0" xfId="0" applyFont="1" applyFill="1" applyAlignment="1">
      <alignment horizontal="center" vertical="center"/>
    </xf>
    <xf numFmtId="4" fontId="5" fillId="0" borderId="0" xfId="0" applyFont="1" applyBorder="1" applyAlignment="1">
      <alignment horizontal="center" vertical="center"/>
    </xf>
    <xf numFmtId="4" fontId="12" fillId="3" borderId="0" xfId="0" applyFont="1" applyFill="1" applyAlignment="1">
      <alignment horizontal="right" vertical="center"/>
    </xf>
    <xf numFmtId="170" fontId="9" fillId="3" borderId="0" xfId="0" applyNumberFormat="1" applyFont="1" applyFill="1" applyAlignment="1">
      <alignment horizontal="center" vertical="center"/>
    </xf>
    <xf numFmtId="4" fontId="9" fillId="3" borderId="0" xfId="0" applyFont="1" applyFill="1" applyAlignment="1">
      <alignment vertical="center" wrapText="1"/>
    </xf>
    <xf numFmtId="4" fontId="9" fillId="3" borderId="0" xfId="0" applyFont="1" applyFill="1" applyBorder="1" applyAlignment="1">
      <alignment vertical="center" wrapText="1"/>
    </xf>
    <xf numFmtId="4" fontId="3" fillId="3" borderId="0" xfId="0" applyFont="1" applyFill="1" applyAlignment="1">
      <alignment horizontal="center" vertical="center"/>
    </xf>
    <xf numFmtId="4" fontId="9" fillId="3" borderId="0" xfId="0" applyFont="1" applyFill="1" applyBorder="1" applyAlignment="1">
      <alignment horizontal="right" vertical="center"/>
    </xf>
    <xf numFmtId="2" fontId="9" fillId="3" borderId="0" xfId="0" applyNumberFormat="1" applyFont="1" applyFill="1" applyBorder="1" applyAlignment="1">
      <alignment horizontal="center" vertical="center"/>
    </xf>
    <xf numFmtId="4" fontId="7" fillId="3" borderId="0" xfId="0" applyFont="1" applyFill="1" applyAlignment="1">
      <alignment horizontal="right" vertical="center"/>
    </xf>
    <xf numFmtId="4" fontId="7" fillId="3" borderId="0" xfId="0" applyFont="1" applyFill="1" applyBorder="1" applyAlignment="1">
      <alignment horizontal="right" vertical="center"/>
    </xf>
    <xf numFmtId="4" fontId="7" fillId="3" borderId="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4" fontId="7" fillId="3" borderId="0" xfId="0" applyFont="1" applyFill="1" applyBorder="1" applyAlignment="1">
      <alignment vertical="center"/>
    </xf>
    <xf numFmtId="169" fontId="7" fillId="3" borderId="0" xfId="0" applyNumberFormat="1" applyFont="1" applyFill="1" applyAlignment="1">
      <alignment horizontal="center" vertical="center"/>
    </xf>
    <xf numFmtId="4" fontId="7" fillId="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8" fillId="4" borderId="0" xfId="0" applyFont="1" applyFill="1" applyAlignment="1">
      <alignment horizontal="left" vertical="center"/>
    </xf>
    <xf numFmtId="4" fontId="9" fillId="4" borderId="0" xfId="0" applyFont="1" applyFill="1" applyAlignment="1">
      <alignment horizontal="center" vertical="center"/>
    </xf>
    <xf numFmtId="4" fontId="10" fillId="4" borderId="0" xfId="0" applyFont="1" applyFill="1" applyAlignment="1">
      <alignment horizontal="right" vertical="center"/>
    </xf>
    <xf numFmtId="4" fontId="9" fillId="4" borderId="0" xfId="0" applyFont="1" applyFill="1" applyAlignment="1">
      <alignment horizontal="left" vertical="center"/>
    </xf>
    <xf numFmtId="4" fontId="8" fillId="5" borderId="0" xfId="0" applyFont="1" applyFill="1" applyAlignment="1">
      <alignment horizontal="left" vertical="center"/>
    </xf>
    <xf numFmtId="4" fontId="9" fillId="5" borderId="0" xfId="0" applyFont="1" applyFill="1" applyAlignment="1">
      <alignment horizontal="center" vertical="center"/>
    </xf>
    <xf numFmtId="3" fontId="9" fillId="5" borderId="0" xfId="0" applyNumberFormat="1" applyFont="1" applyFill="1" applyAlignment="1">
      <alignment horizontal="center" vertical="center"/>
    </xf>
    <xf numFmtId="170" fontId="9" fillId="5" borderId="0" xfId="0" applyNumberFormat="1" applyFont="1" applyFill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170" fontId="9" fillId="5" borderId="4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Alignment="1">
      <alignment horizontal="center" vertical="center"/>
    </xf>
    <xf numFmtId="4" fontId="9" fillId="4" borderId="0" xfId="0" quotePrefix="1" applyFont="1" applyFill="1" applyAlignment="1">
      <alignment horizontal="left" vertical="center"/>
    </xf>
    <xf numFmtId="4" fontId="10" fillId="4" borderId="0" xfId="0" applyFont="1" applyFill="1" applyAlignment="1">
      <alignment horizontal="center" vertical="center"/>
    </xf>
    <xf numFmtId="4" fontId="9" fillId="4" borderId="0" xfId="0" applyFont="1" applyFill="1" applyAlignment="1">
      <alignment vertical="center" wrapText="1"/>
    </xf>
    <xf numFmtId="4" fontId="9" fillId="4" borderId="4" xfId="0" applyFont="1" applyFill="1" applyBorder="1" applyAlignment="1">
      <alignment horizontal="center" vertical="center"/>
    </xf>
    <xf numFmtId="4" fontId="9" fillId="4" borderId="0" xfId="0" applyFont="1" applyFill="1" applyBorder="1" applyAlignment="1">
      <alignment horizontal="center" vertical="center"/>
    </xf>
    <xf numFmtId="4" fontId="3" fillId="4" borderId="0" xfId="0" applyFont="1" applyFill="1" applyAlignment="1">
      <alignment horizontal="center" vertical="center"/>
    </xf>
    <xf numFmtId="4" fontId="9" fillId="5" borderId="0" xfId="0" quotePrefix="1" applyFont="1" applyFill="1" applyAlignment="1">
      <alignment horizontal="center" vertical="center"/>
    </xf>
    <xf numFmtId="4" fontId="9" fillId="5" borderId="0" xfId="0" applyFont="1" applyFill="1" applyAlignment="1">
      <alignment horizontal="right" vertical="center"/>
    </xf>
    <xf numFmtId="4" fontId="9" fillId="4" borderId="4" xfId="0" applyFont="1" applyFill="1" applyBorder="1" applyAlignment="1">
      <alignment horizontal="center" vertical="center" wrapText="1"/>
    </xf>
    <xf numFmtId="4" fontId="10" fillId="4" borderId="4" xfId="0" applyFont="1" applyFill="1" applyBorder="1" applyAlignment="1">
      <alignment horizontal="center" vertical="center"/>
    </xf>
    <xf numFmtId="4" fontId="0" fillId="0" borderId="0" xfId="0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Font="1" applyAlignment="1">
      <alignment horizontal="center" vertical="center" textRotation="90" wrapText="1"/>
    </xf>
    <xf numFmtId="171" fontId="3" fillId="0" borderId="0" xfId="0" applyNumberFormat="1" applyFont="1" applyBorder="1" applyAlignment="1">
      <alignment horizontal="right" vertical="center"/>
    </xf>
    <xf numFmtId="4" fontId="3" fillId="0" borderId="0" xfId="0" applyFont="1" applyBorder="1" applyAlignment="1">
      <alignment horizontal="left" vertical="center"/>
    </xf>
    <xf numFmtId="4" fontId="3" fillId="2" borderId="0" xfId="0" applyFont="1" applyFill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4" fontId="9" fillId="4" borderId="0" xfId="0" applyNumberFormat="1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left" vertical="center"/>
    </xf>
    <xf numFmtId="4" fontId="9" fillId="5" borderId="0" xfId="0" applyFont="1" applyFill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171" fontId="9" fillId="5" borderId="0" xfId="0" applyNumberFormat="1" applyFont="1" applyFill="1" applyAlignment="1">
      <alignment horizontal="center" vertical="center"/>
    </xf>
    <xf numFmtId="171" fontId="9" fillId="5" borderId="0" xfId="0" applyNumberFormat="1" applyFont="1" applyFill="1" applyBorder="1" applyAlignment="1">
      <alignment horizontal="left" vertical="center"/>
    </xf>
    <xf numFmtId="171" fontId="9" fillId="5" borderId="0" xfId="0" applyNumberFormat="1" applyFont="1" applyFill="1" applyAlignment="1">
      <alignment horizontal="left" vertical="center"/>
    </xf>
    <xf numFmtId="3" fontId="9" fillId="5" borderId="0" xfId="0" applyNumberFormat="1" applyFont="1" applyFill="1" applyBorder="1" applyAlignment="1">
      <alignment horizontal="left" vertical="center"/>
    </xf>
    <xf numFmtId="3" fontId="9" fillId="5" borderId="0" xfId="0" applyNumberFormat="1" applyFont="1" applyFill="1" applyAlignment="1">
      <alignment horizontal="left" vertical="center"/>
    </xf>
    <xf numFmtId="4" fontId="0" fillId="3" borderId="0" xfId="0" applyFill="1" applyAlignment="1">
      <alignment horizontal="center" vertical="center"/>
    </xf>
    <xf numFmtId="3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center" vertical="center"/>
    </xf>
    <xf numFmtId="171" fontId="9" fillId="3" borderId="0" xfId="0" applyNumberFormat="1" applyFont="1" applyFill="1" applyAlignment="1">
      <alignment horizontal="left" vertical="center"/>
    </xf>
    <xf numFmtId="3" fontId="9" fillId="3" borderId="0" xfId="0" applyNumberFormat="1" applyFont="1" applyFill="1" applyAlignment="1">
      <alignment horizontal="left" vertical="center"/>
    </xf>
    <xf numFmtId="4" fontId="9" fillId="3" borderId="0" xfId="0" applyFont="1" applyFill="1" applyAlignment="1">
      <alignment horizontal="left" vertical="center"/>
    </xf>
    <xf numFmtId="171" fontId="9" fillId="3" borderId="0" xfId="0" applyNumberFormat="1" applyFont="1" applyFill="1" applyBorder="1" applyAlignment="1">
      <alignment horizontal="left" vertical="center"/>
    </xf>
    <xf numFmtId="4" fontId="0" fillId="3" borderId="0" xfId="0" applyFill="1" applyBorder="1" applyAlignment="1">
      <alignment horizontal="center" vertical="center"/>
    </xf>
    <xf numFmtId="171" fontId="9" fillId="3" borderId="0" xfId="0" applyNumberFormat="1" applyFont="1" applyFill="1" applyBorder="1" applyAlignment="1">
      <alignment horizontal="center" vertical="center"/>
    </xf>
    <xf numFmtId="4" fontId="9" fillId="3" borderId="0" xfId="0" applyFont="1" applyFill="1" applyBorder="1" applyAlignment="1">
      <alignment horizontal="center" vertical="center"/>
    </xf>
    <xf numFmtId="4" fontId="9" fillId="3" borderId="0" xfId="0" applyFont="1" applyFill="1" applyBorder="1" applyAlignment="1">
      <alignment horizontal="left" vertical="center"/>
    </xf>
    <xf numFmtId="4" fontId="12" fillId="3" borderId="0" xfId="0" applyFont="1" applyFill="1" applyBorder="1" applyAlignment="1">
      <alignment horizontal="left" vertical="center"/>
    </xf>
    <xf numFmtId="170" fontId="9" fillId="3" borderId="0" xfId="0" applyNumberFormat="1" applyFont="1" applyFill="1" applyBorder="1" applyAlignment="1">
      <alignment horizontal="center" vertical="center"/>
    </xf>
    <xf numFmtId="171" fontId="7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10" fillId="6" borderId="0" xfId="0" applyFont="1" applyFill="1" applyBorder="1" applyAlignment="1">
      <alignment horizontal="right"/>
    </xf>
    <xf numFmtId="2" fontId="9" fillId="6" borderId="0" xfId="0" applyNumberFormat="1" applyFont="1" applyFill="1" applyBorder="1" applyAlignment="1">
      <alignment horizontal="left"/>
    </xf>
    <xf numFmtId="4" fontId="9" fillId="6" borderId="0" xfId="0" applyFont="1" applyFill="1" applyBorder="1" applyAlignment="1">
      <alignment horizontal="right" vertical="center"/>
    </xf>
    <xf numFmtId="9" fontId="9" fillId="6" borderId="0" xfId="1" applyFont="1" applyFill="1" applyBorder="1" applyAlignment="1">
      <alignment horizontal="left" vertical="center"/>
    </xf>
    <xf numFmtId="4" fontId="9" fillId="6" borderId="0" xfId="0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4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center" vertical="center"/>
    </xf>
    <xf numFmtId="4" fontId="9" fillId="6" borderId="0" xfId="0" applyFont="1" applyFill="1" applyAlignment="1">
      <alignment vertical="center" wrapText="1"/>
    </xf>
    <xf numFmtId="4" fontId="9" fillId="6" borderId="0" xfId="0" applyFont="1" applyFill="1" applyAlignment="1">
      <alignment horizontal="center" vertical="center" wrapText="1"/>
    </xf>
    <xf numFmtId="4" fontId="9" fillId="6" borderId="4" xfId="0" applyFont="1" applyFill="1" applyBorder="1" applyAlignment="1">
      <alignment horizontal="center" vertical="center" wrapText="1"/>
    </xf>
    <xf numFmtId="4" fontId="3" fillId="3" borderId="0" xfId="0" applyFont="1" applyFill="1" applyBorder="1" applyAlignment="1">
      <alignment horizontal="center" vertical="center"/>
    </xf>
    <xf numFmtId="169" fontId="9" fillId="3" borderId="0" xfId="0" applyNumberFormat="1" applyFont="1" applyFill="1" applyBorder="1" applyAlignment="1">
      <alignment horizontal="center" vertical="center"/>
    </xf>
    <xf numFmtId="4" fontId="3" fillId="0" borderId="0" xfId="0" applyFont="1" applyFill="1" applyBorder="1" applyAlignment="1">
      <alignment vertical="center" wrapText="1"/>
    </xf>
    <xf numFmtId="4" fontId="3" fillId="0" borderId="0" xfId="0" applyFont="1" applyFill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4" fontId="9" fillId="6" borderId="0" xfId="0" applyFont="1" applyFill="1" applyAlignment="1">
      <alignment horizontal="right" vertical="center"/>
    </xf>
    <xf numFmtId="9" fontId="9" fillId="6" borderId="0" xfId="1" applyFont="1" applyFill="1" applyAlignment="1">
      <alignment horizontal="left" vertical="center"/>
    </xf>
    <xf numFmtId="4" fontId="10" fillId="6" borderId="0" xfId="0" applyFont="1" applyFill="1" applyBorder="1" applyAlignment="1">
      <alignment horizontal="right" vertical="center"/>
    </xf>
    <xf numFmtId="2" fontId="9" fillId="6" borderId="0" xfId="0" applyNumberFormat="1" applyFont="1" applyFill="1" applyBorder="1" applyAlignment="1">
      <alignment horizontal="left" vertical="center"/>
    </xf>
    <xf numFmtId="3" fontId="9" fillId="6" borderId="0" xfId="0" applyNumberFormat="1" applyFont="1" applyFill="1" applyAlignment="1">
      <alignment horizontal="left" vertical="center"/>
    </xf>
    <xf numFmtId="4" fontId="10" fillId="6" borderId="0" xfId="0" applyFont="1" applyFill="1" applyAlignment="1">
      <alignment horizontal="right" vertical="center"/>
    </xf>
    <xf numFmtId="4" fontId="9" fillId="6" borderId="0" xfId="0" applyFont="1" applyFill="1" applyAlignment="1">
      <alignment horizontal="left" vertical="center"/>
    </xf>
    <xf numFmtId="170" fontId="9" fillId="5" borderId="0" xfId="0" applyNumberFormat="1" applyFont="1" applyFill="1" applyBorder="1" applyAlignment="1">
      <alignment horizontal="center" vertical="center"/>
    </xf>
    <xf numFmtId="4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left" vertical="center"/>
    </xf>
    <xf numFmtId="4" fontId="9" fillId="5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left" vertical="center"/>
    </xf>
    <xf numFmtId="170" fontId="9" fillId="3" borderId="0" xfId="0" applyNumberFormat="1" applyFont="1" applyFill="1" applyBorder="1" applyAlignment="1">
      <alignment horizontal="right" vertical="center"/>
    </xf>
    <xf numFmtId="4" fontId="0" fillId="6" borderId="0" xfId="0" applyFill="1" applyAlignment="1">
      <alignment horizontal="center" vertical="center"/>
    </xf>
    <xf numFmtId="4" fontId="0" fillId="6" borderId="0" xfId="0" applyFill="1" applyBorder="1" applyAlignment="1">
      <alignment horizontal="center" vertical="center"/>
    </xf>
    <xf numFmtId="4" fontId="9" fillId="3" borderId="4" xfId="0" applyFont="1" applyFill="1" applyBorder="1" applyAlignment="1">
      <alignment horizontal="left" vertical="center"/>
    </xf>
    <xf numFmtId="4" fontId="9" fillId="3" borderId="4" xfId="0" applyFont="1" applyFill="1" applyBorder="1" applyAlignment="1">
      <alignment horizontal="center" vertical="center"/>
    </xf>
    <xf numFmtId="170" fontId="0" fillId="3" borderId="0" xfId="0" quotePrefix="1" applyNumberFormat="1" applyFill="1" applyAlignment="1">
      <alignment horizontal="left" vertical="center"/>
    </xf>
    <xf numFmtId="3" fontId="9" fillId="6" borderId="0" xfId="1" applyNumberFormat="1" applyFont="1" applyFill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4" fontId="0" fillId="4" borderId="0" xfId="0" applyFill="1" applyAlignment="1">
      <alignment horizontal="center" vertical="center"/>
    </xf>
    <xf numFmtId="4" fontId="7" fillId="3" borderId="1" xfId="0" applyFont="1" applyFill="1" applyBorder="1" applyAlignment="1">
      <alignment horizontal="center" vertical="center"/>
    </xf>
    <xf numFmtId="171" fontId="7" fillId="3" borderId="4" xfId="0" applyNumberFormat="1" applyFont="1" applyFill="1" applyBorder="1" applyAlignment="1">
      <alignment horizontal="right" vertical="center"/>
    </xf>
    <xf numFmtId="4" fontId="7" fillId="3" borderId="4" xfId="0" applyFont="1" applyFill="1" applyBorder="1" applyAlignment="1">
      <alignment horizontal="center" vertical="center"/>
    </xf>
    <xf numFmtId="4" fontId="0" fillId="7" borderId="0" xfId="0" applyFill="1" applyBorder="1" applyAlignment="1">
      <alignment horizontal="right" vertical="center"/>
    </xf>
    <xf numFmtId="171" fontId="0" fillId="7" borderId="0" xfId="0" applyNumberFormat="1" applyFill="1" applyBorder="1" applyAlignment="1">
      <alignment horizontal="left" vertical="center"/>
    </xf>
    <xf numFmtId="4" fontId="0" fillId="7" borderId="0" xfId="0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4" fontId="0" fillId="5" borderId="4" xfId="0" applyFill="1" applyBorder="1" applyAlignment="1">
      <alignment horizontal="center" vertical="center"/>
    </xf>
    <xf numFmtId="4" fontId="9" fillId="5" borderId="4" xfId="0" applyFont="1" applyFill="1" applyBorder="1" applyAlignment="1">
      <alignment horizontal="right" vertical="center"/>
    </xf>
    <xf numFmtId="3" fontId="0" fillId="5" borderId="4" xfId="0" applyNumberFormat="1" applyFill="1" applyBorder="1" applyAlignment="1">
      <alignment horizontal="left" vertical="center"/>
    </xf>
    <xf numFmtId="171" fontId="9" fillId="3" borderId="0" xfId="0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 vertical="center"/>
    </xf>
    <xf numFmtId="4" fontId="9" fillId="5" borderId="0" xfId="0" applyNumberFormat="1" applyFont="1" applyFill="1" applyAlignment="1">
      <alignment horizontal="center" vertical="center"/>
    </xf>
    <xf numFmtId="170" fontId="10" fillId="4" borderId="0" xfId="0" applyNumberFormat="1" applyFont="1" applyFill="1" applyAlignment="1">
      <alignment horizontal="right" vertical="center"/>
    </xf>
    <xf numFmtId="170" fontId="9" fillId="4" borderId="0" xfId="0" applyNumberFormat="1" applyFont="1" applyFill="1" applyAlignment="1">
      <alignment horizontal="left" vertical="center"/>
    </xf>
    <xf numFmtId="170" fontId="9" fillId="4" borderId="0" xfId="0" applyNumberFormat="1" applyFont="1" applyFill="1" applyAlignment="1">
      <alignment horizontal="center" vertical="center"/>
    </xf>
    <xf numFmtId="171" fontId="0" fillId="0" borderId="0" xfId="0" applyNumberFormat="1" applyFill="1" applyBorder="1" applyAlignment="1">
      <alignment horizontal="left" vertical="center"/>
    </xf>
    <xf numFmtId="170" fontId="10" fillId="3" borderId="0" xfId="0" applyNumberFormat="1" applyFont="1" applyFill="1" applyBorder="1" applyAlignment="1">
      <alignment horizontal="right" vertical="center"/>
    </xf>
    <xf numFmtId="4" fontId="9" fillId="6" borderId="1" xfId="0" applyFont="1" applyFill="1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4" fontId="9" fillId="6" borderId="0" xfId="0" applyFont="1" applyFill="1" applyBorder="1">
      <alignment horizontal="center" vertical="center"/>
    </xf>
    <xf numFmtId="4" fontId="9" fillId="6" borderId="0" xfId="0" applyFont="1" applyFill="1" applyBorder="1" applyAlignment="1">
      <alignment horizontal="right"/>
    </xf>
    <xf numFmtId="4" fontId="9" fillId="6" borderId="0" xfId="0" quotePrefix="1" applyFont="1" applyFill="1" applyBorder="1" applyAlignment="1">
      <alignment horizontal="left" vertical="center"/>
    </xf>
    <xf numFmtId="4" fontId="9" fillId="5" borderId="0" xfId="0" quotePrefix="1" applyFont="1" applyFill="1" applyBorder="1" applyAlignment="1">
      <alignment horizontal="left" vertical="center"/>
    </xf>
    <xf numFmtId="4" fontId="9" fillId="5" borderId="0" xfId="0" applyFont="1" applyFill="1" applyBorder="1" applyAlignment="1">
      <alignment horizontal="left" vertical="center"/>
    </xf>
    <xf numFmtId="170" fontId="9" fillId="5" borderId="0" xfId="0" quotePrefix="1" applyNumberFormat="1" applyFont="1" applyFill="1" applyBorder="1" applyAlignment="1">
      <alignment horizontal="left" vertical="center"/>
    </xf>
    <xf numFmtId="4" fontId="9" fillId="5" borderId="0" xfId="0" applyNumberFormat="1" applyFont="1" applyFill="1" applyBorder="1" applyAlignment="1">
      <alignment horizontal="left" vertical="center"/>
    </xf>
    <xf numFmtId="4" fontId="9" fillId="5" borderId="10" xfId="0" applyFont="1" applyFill="1" applyBorder="1" applyAlignment="1">
      <alignment horizontal="right" vertical="center"/>
    </xf>
    <xf numFmtId="4" fontId="9" fillId="5" borderId="0" xfId="0" applyFont="1" applyFill="1" applyBorder="1" applyAlignment="1">
      <alignment horizontal="right" vertical="center" textRotation="90" wrapText="1"/>
    </xf>
    <xf numFmtId="4" fontId="3" fillId="8" borderId="11" xfId="0" applyFont="1" applyFill="1" applyBorder="1">
      <alignment horizontal="center" vertical="center"/>
    </xf>
    <xf numFmtId="4" fontId="3" fillId="8" borderId="5" xfId="0" applyFont="1" applyFill="1" applyBorder="1">
      <alignment horizontal="center" vertical="center"/>
    </xf>
    <xf numFmtId="4" fontId="9" fillId="5" borderId="11" xfId="0" applyFont="1" applyFill="1" applyBorder="1" applyAlignment="1">
      <alignment horizontal="right" vertical="center"/>
    </xf>
    <xf numFmtId="4" fontId="9" fillId="5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>
      <alignment horizontal="center" vertical="center"/>
    </xf>
    <xf numFmtId="170" fontId="9" fillId="5" borderId="6" xfId="0" applyNumberFormat="1" applyFont="1" applyFill="1" applyBorder="1" applyAlignment="1">
      <alignment horizontal="center" vertical="center"/>
    </xf>
    <xf numFmtId="170" fontId="9" fillId="5" borderId="14" xfId="0" applyNumberFormat="1" applyFont="1" applyFill="1" applyBorder="1" applyAlignment="1">
      <alignment horizontal="center" vertical="center"/>
    </xf>
    <xf numFmtId="4" fontId="9" fillId="5" borderId="15" xfId="0" applyFont="1" applyFill="1" applyBorder="1" applyAlignment="1">
      <alignment horizontal="right" vertical="center"/>
    </xf>
    <xf numFmtId="170" fontId="9" fillId="5" borderId="16" xfId="0" applyNumberFormat="1" applyFont="1" applyFill="1" applyBorder="1" applyAlignment="1">
      <alignment horizontal="center" vertical="center"/>
    </xf>
    <xf numFmtId="170" fontId="9" fillId="6" borderId="16" xfId="0" applyNumberFormat="1" applyFont="1" applyFill="1" applyBorder="1" applyAlignment="1">
      <alignment horizontal="right"/>
    </xf>
    <xf numFmtId="170" fontId="9" fillId="6" borderId="11" xfId="0" quotePrefix="1" applyNumberFormat="1" applyFont="1" applyFill="1" applyBorder="1" applyAlignment="1">
      <alignment horizontal="left" vertical="center"/>
    </xf>
    <xf numFmtId="4" fontId="9" fillId="6" borderId="11" xfId="0" applyFont="1" applyFill="1" applyBorder="1" applyAlignment="1">
      <alignment horizontal="center" vertical="center"/>
    </xf>
    <xf numFmtId="3" fontId="9" fillId="5" borderId="18" xfId="0" applyNumberFormat="1" applyFont="1" applyFill="1" applyBorder="1" applyAlignment="1">
      <alignment horizontal="center" vertical="center"/>
    </xf>
    <xf numFmtId="4" fontId="9" fillId="6" borderId="11" xfId="0" applyFont="1" applyFill="1" applyBorder="1">
      <alignment horizontal="center" vertical="center"/>
    </xf>
    <xf numFmtId="4" fontId="9" fillId="5" borderId="11" xfId="0" applyFont="1" applyFill="1" applyBorder="1" applyAlignment="1">
      <alignment horizontal="right" vertical="center" textRotation="90" wrapText="1"/>
    </xf>
    <xf numFmtId="4" fontId="9" fillId="6" borderId="4" xfId="0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center" vertical="center"/>
    </xf>
    <xf numFmtId="4" fontId="9" fillId="3" borderId="11" xfId="0" applyFont="1" applyFill="1" applyBorder="1" applyAlignment="1">
      <alignment horizontal="center" vertical="center"/>
    </xf>
    <xf numFmtId="4" fontId="9" fillId="3" borderId="11" xfId="0" applyFont="1" applyFill="1" applyBorder="1" applyAlignment="1">
      <alignment horizontal="right" vertical="center"/>
    </xf>
    <xf numFmtId="171" fontId="9" fillId="3" borderId="11" xfId="0" applyNumberFormat="1" applyFont="1" applyFill="1" applyBorder="1" applyAlignment="1">
      <alignment horizontal="center" vertical="center"/>
    </xf>
    <xf numFmtId="4" fontId="0" fillId="3" borderId="11" xfId="0" applyFill="1" applyBorder="1" applyAlignment="1">
      <alignment horizontal="center" vertical="center"/>
    </xf>
    <xf numFmtId="4" fontId="9" fillId="2" borderId="0" xfId="0" applyFont="1" applyFill="1" applyAlignment="1">
      <alignment horizontal="center" vertical="center"/>
    </xf>
    <xf numFmtId="4" fontId="9" fillId="6" borderId="0" xfId="0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 vertical="center"/>
    </xf>
    <xf numFmtId="4" fontId="9" fillId="5" borderId="0" xfId="0" applyNumberFormat="1" applyFont="1" applyFill="1" applyAlignment="1">
      <alignment horizontal="center" vertical="center"/>
    </xf>
    <xf numFmtId="4" fontId="16" fillId="2" borderId="0" xfId="0" applyFont="1" applyFill="1" applyAlignment="1">
      <alignment horizontal="right" vertical="center"/>
    </xf>
    <xf numFmtId="4" fontId="9" fillId="6" borderId="4" xfId="0" applyNumberFormat="1" applyFont="1" applyFill="1" applyBorder="1" applyAlignment="1">
      <alignment horizontal="center" vertical="center"/>
    </xf>
    <xf numFmtId="4" fontId="9" fillId="6" borderId="0" xfId="0" applyFont="1" applyFill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" fontId="7" fillId="3" borderId="0" xfId="0" applyFont="1" applyFill="1" applyBorder="1" applyAlignment="1">
      <alignment horizontal="left" vertical="center"/>
    </xf>
    <xf numFmtId="4" fontId="9" fillId="5" borderId="4" xfId="0" applyFont="1" applyFill="1" applyBorder="1" applyAlignment="1">
      <alignment horizontal="center" vertical="center" wrapText="1"/>
    </xf>
    <xf numFmtId="171" fontId="7" fillId="3" borderId="0" xfId="0" applyNumberFormat="1" applyFont="1" applyFill="1" applyAlignment="1">
      <alignment horizontal="center" vertical="center"/>
    </xf>
    <xf numFmtId="4" fontId="9" fillId="5" borderId="23" xfId="0" applyFont="1" applyFill="1" applyBorder="1" applyAlignment="1">
      <alignment horizontal="center" vertical="center"/>
    </xf>
    <xf numFmtId="2" fontId="9" fillId="5" borderId="23" xfId="0" applyNumberFormat="1" applyFont="1" applyFill="1" applyBorder="1" applyAlignment="1">
      <alignment horizontal="center" vertical="center"/>
    </xf>
    <xf numFmtId="4" fontId="9" fillId="5" borderId="16" xfId="0" applyFont="1" applyFill="1" applyBorder="1" applyAlignment="1">
      <alignment horizontal="right" vertical="center"/>
    </xf>
    <xf numFmtId="4" fontId="9" fillId="5" borderId="11" xfId="0" applyNumberFormat="1" applyFont="1" applyFill="1" applyBorder="1" applyAlignment="1">
      <alignment horizontal="left" vertical="center"/>
    </xf>
    <xf numFmtId="3" fontId="10" fillId="4" borderId="11" xfId="0" applyNumberFormat="1" applyFont="1" applyFill="1" applyBorder="1" applyAlignment="1">
      <alignment horizontal="right" vertical="center"/>
    </xf>
    <xf numFmtId="4" fontId="9" fillId="4" borderId="16" xfId="0" applyFont="1" applyFill="1" applyBorder="1" applyAlignment="1">
      <alignment horizontal="left" vertical="center"/>
    </xf>
    <xf numFmtId="3" fontId="10" fillId="4" borderId="23" xfId="0" applyNumberFormat="1" applyFont="1" applyFill="1" applyBorder="1" applyAlignment="1">
      <alignment horizontal="right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4" fontId="3" fillId="4" borderId="0" xfId="0" applyFont="1" applyFill="1">
      <alignment horizontal="center" vertical="center"/>
    </xf>
    <xf numFmtId="4" fontId="9" fillId="0" borderId="0" xfId="0" applyFont="1" applyBorder="1" applyAlignment="1">
      <alignment horizontal="center" vertical="center"/>
    </xf>
    <xf numFmtId="171" fontId="9" fillId="3" borderId="0" xfId="0" applyNumberFormat="1" applyFont="1" applyFill="1" applyBorder="1" applyAlignment="1"/>
    <xf numFmtId="4" fontId="9" fillId="3" borderId="0" xfId="0" applyFont="1" applyFill="1" applyAlignment="1">
      <alignment horizontal="center"/>
    </xf>
    <xf numFmtId="4" fontId="9" fillId="3" borderId="0" xfId="0" applyFont="1" applyFill="1" applyBorder="1" applyAlignment="1">
      <alignment horizontal="right"/>
    </xf>
    <xf numFmtId="170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left"/>
    </xf>
    <xf numFmtId="171" fontId="9" fillId="3" borderId="0" xfId="0" applyNumberFormat="1" applyFont="1" applyFill="1" applyBorder="1" applyAlignment="1">
      <alignment horizontal="left"/>
    </xf>
    <xf numFmtId="4" fontId="9" fillId="3" borderId="0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left"/>
    </xf>
    <xf numFmtId="4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left"/>
    </xf>
    <xf numFmtId="4" fontId="9" fillId="3" borderId="0" xfId="0" applyFont="1" applyFill="1" applyAlignment="1">
      <alignment horizontal="left"/>
    </xf>
    <xf numFmtId="4" fontId="9" fillId="3" borderId="4" xfId="0" applyFont="1" applyFill="1" applyBorder="1" applyAlignment="1">
      <alignment horizontal="center"/>
    </xf>
    <xf numFmtId="4" fontId="9" fillId="3" borderId="4" xfId="0" applyFont="1" applyFill="1" applyBorder="1" applyAlignment="1">
      <alignment horizontal="right"/>
    </xf>
    <xf numFmtId="171" fontId="9" fillId="3" borderId="4" xfId="0" applyNumberFormat="1" applyFont="1" applyFill="1" applyBorder="1" applyAlignment="1">
      <alignment horizontal="left"/>
    </xf>
    <xf numFmtId="4" fontId="3" fillId="3" borderId="0" xfId="0" applyFont="1" applyFill="1" applyAlignment="1">
      <alignment horizontal="center"/>
    </xf>
    <xf numFmtId="3" fontId="9" fillId="3" borderId="0" xfId="0" applyNumberFormat="1" applyFont="1" applyFill="1" applyAlignment="1">
      <alignment horizontal="left"/>
    </xf>
    <xf numFmtId="171" fontId="9" fillId="3" borderId="0" xfId="0" applyNumberFormat="1" applyFont="1" applyFill="1" applyAlignment="1">
      <alignment horizontal="left"/>
    </xf>
    <xf numFmtId="3" fontId="9" fillId="3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horizontal="left"/>
    </xf>
    <xf numFmtId="4" fontId="9" fillId="3" borderId="0" xfId="0" applyNumberFormat="1" applyFont="1" applyFill="1" applyBorder="1" applyAlignment="1">
      <alignment horizontal="left"/>
    </xf>
    <xf numFmtId="4" fontId="9" fillId="3" borderId="0" xfId="0" applyNumberFormat="1" applyFont="1" applyFill="1" applyBorder="1" applyAlignment="1">
      <alignment horizontal="left"/>
    </xf>
    <xf numFmtId="4" fontId="7" fillId="3" borderId="0" xfId="0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left"/>
    </xf>
    <xf numFmtId="4" fontId="9" fillId="3" borderId="0" xfId="0" applyFont="1" applyFill="1" applyBorder="1" applyAlignment="1">
      <alignment horizontal="left"/>
    </xf>
    <xf numFmtId="171" fontId="9" fillId="3" borderId="0" xfId="0" applyNumberFormat="1" applyFont="1" applyFill="1" applyBorder="1" applyAlignment="1">
      <alignment horizontal="center"/>
    </xf>
    <xf numFmtId="171" fontId="9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right"/>
    </xf>
    <xf numFmtId="3" fontId="10" fillId="4" borderId="27" xfId="0" applyNumberFormat="1" applyFont="1" applyFill="1" applyBorder="1" applyAlignment="1">
      <alignment horizontal="right" vertical="center"/>
    </xf>
    <xf numFmtId="4" fontId="9" fillId="6" borderId="0" xfId="0" applyFont="1" applyFill="1" applyBorder="1" applyAlignment="1">
      <alignment horizontal="center"/>
    </xf>
    <xf numFmtId="3" fontId="10" fillId="6" borderId="0" xfId="0" applyNumberFormat="1" applyFont="1" applyFill="1" applyBorder="1" applyAlignment="1">
      <alignment horizontal="right"/>
    </xf>
    <xf numFmtId="4" fontId="9" fillId="6" borderId="0" xfId="0" applyFont="1" applyFill="1" applyBorder="1" applyAlignment="1">
      <alignment horizontal="left"/>
    </xf>
    <xf numFmtId="9" fontId="9" fillId="6" borderId="0" xfId="1" applyFont="1" applyFill="1" applyBorder="1" applyAlignment="1">
      <alignment horizontal="left"/>
    </xf>
    <xf numFmtId="3" fontId="9" fillId="6" borderId="0" xfId="0" applyNumberFormat="1" applyFont="1" applyFill="1" applyBorder="1" applyAlignment="1">
      <alignment horizontal="right"/>
    </xf>
    <xf numFmtId="3" fontId="9" fillId="6" borderId="0" xfId="0" applyNumberFormat="1" applyFont="1" applyFill="1" applyBorder="1" applyAlignment="1">
      <alignment horizontal="left"/>
    </xf>
    <xf numFmtId="4" fontId="9" fillId="4" borderId="20" xfId="0" applyFont="1" applyFill="1" applyBorder="1" applyAlignment="1">
      <alignment horizontal="right" vertical="center"/>
    </xf>
    <xf numFmtId="4" fontId="9" fillId="4" borderId="4" xfId="0" applyFont="1" applyFill="1" applyBorder="1" applyAlignment="1">
      <alignment horizontal="right" vertical="center"/>
    </xf>
    <xf numFmtId="3" fontId="9" fillId="4" borderId="7" xfId="0" applyNumberFormat="1" applyFont="1" applyFill="1" applyBorder="1" applyAlignment="1">
      <alignment horizontal="left" vertical="center"/>
    </xf>
    <xf numFmtId="170" fontId="9" fillId="5" borderId="0" xfId="0" applyNumberFormat="1" applyFont="1" applyFill="1" applyAlignment="1">
      <alignment horizontal="center" vertical="center"/>
    </xf>
    <xf numFmtId="170" fontId="9" fillId="5" borderId="0" xfId="0" applyNumberFormat="1" applyFont="1" applyFill="1" applyAlignment="1">
      <alignment horizontal="center" vertical="center"/>
    </xf>
    <xf numFmtId="4" fontId="3" fillId="6" borderId="0" xfId="0" applyFont="1" applyFill="1" applyAlignment="1">
      <alignment horizontal="center" vertical="center"/>
    </xf>
    <xf numFmtId="171" fontId="9" fillId="4" borderId="0" xfId="0" applyNumberFormat="1" applyFont="1" applyFill="1" applyAlignment="1">
      <alignment horizontal="center" vertical="center"/>
    </xf>
    <xf numFmtId="4" fontId="10" fillId="4" borderId="11" xfId="0" applyFont="1" applyFill="1" applyBorder="1" applyAlignment="1">
      <alignment horizontal="right" vertical="center"/>
    </xf>
    <xf numFmtId="4" fontId="9" fillId="4" borderId="11" xfId="0" applyFont="1" applyFill="1" applyBorder="1" applyAlignment="1">
      <alignment horizontal="center" vertical="center"/>
    </xf>
    <xf numFmtId="4" fontId="9" fillId="4" borderId="11" xfId="0" applyFont="1" applyFill="1" applyBorder="1" applyAlignment="1">
      <alignment horizontal="left" vertical="center"/>
    </xf>
    <xf numFmtId="4" fontId="9" fillId="4" borderId="0" xfId="0" applyFont="1" applyFill="1" applyAlignment="1">
      <alignment horizontal="center" vertical="center" wrapText="1"/>
    </xf>
    <xf numFmtId="4" fontId="3" fillId="4" borderId="11" xfId="0" applyFont="1" applyFill="1" applyBorder="1" applyAlignment="1">
      <alignment horizontal="center" vertical="center"/>
    </xf>
    <xf numFmtId="4" fontId="9" fillId="5" borderId="11" xfId="0" quotePrefix="1" applyFont="1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left" vertical="center"/>
    </xf>
    <xf numFmtId="4" fontId="0" fillId="7" borderId="0" xfId="0" applyNumberFormat="1" applyFill="1" applyBorder="1" applyAlignment="1">
      <alignment horizontal="left" vertical="center"/>
    </xf>
    <xf numFmtId="4" fontId="7" fillId="3" borderId="0" xfId="0" applyNumberFormat="1" applyFont="1" applyFill="1" applyAlignment="1">
      <alignment horizontal="right" vertical="center"/>
    </xf>
    <xf numFmtId="4" fontId="0" fillId="7" borderId="0" xfId="0" applyNumberFormat="1" applyFill="1" applyBorder="1" applyAlignment="1">
      <alignment horizontal="left" vertical="center"/>
    </xf>
    <xf numFmtId="4" fontId="9" fillId="3" borderId="0" xfId="0" applyNumberFormat="1" applyFont="1" applyFill="1" applyBorder="1" applyAlignment="1">
      <alignment horizontal="right"/>
    </xf>
    <xf numFmtId="171" fontId="0" fillId="0" borderId="0" xfId="0" applyNumberFormat="1" applyAlignment="1">
      <alignment horizontal="center" vertical="center"/>
    </xf>
    <xf numFmtId="4" fontId="9" fillId="3" borderId="0" xfId="0" applyFont="1" applyFill="1" applyBorder="1" applyAlignment="1">
      <alignment vertical="center"/>
    </xf>
    <xf numFmtId="4" fontId="10" fillId="4" borderId="4" xfId="0" applyFont="1" applyFill="1" applyBorder="1" applyAlignment="1">
      <alignment horizontal="center" vertical="center"/>
    </xf>
    <xf numFmtId="4" fontId="9" fillId="5" borderId="4" xfId="0" applyFont="1" applyFill="1" applyBorder="1" applyAlignment="1">
      <alignment horizontal="center" vertical="center"/>
    </xf>
    <xf numFmtId="4" fontId="3" fillId="2" borderId="0" xfId="0" applyFont="1" applyFill="1" applyAlignment="1">
      <alignment horizontal="center" vertical="center"/>
    </xf>
    <xf numFmtId="4" fontId="3" fillId="2" borderId="0" xfId="0" applyFont="1" applyFill="1">
      <alignment horizontal="center" vertical="center"/>
    </xf>
    <xf numFmtId="4" fontId="9" fillId="3" borderId="4" xfId="0" applyFont="1" applyFill="1" applyBorder="1" applyAlignment="1">
      <alignment horizontal="left"/>
    </xf>
    <xf numFmtId="4" fontId="9" fillId="6" borderId="0" xfId="0" applyFont="1" applyFill="1" applyBorder="1" applyAlignment="1">
      <alignment horizontal="center" vertical="center"/>
    </xf>
    <xf numFmtId="4" fontId="22" fillId="0" borderId="0" xfId="0" applyFont="1" applyFill="1" applyBorder="1" applyAlignment="1">
      <alignment horizontal="left" vertical="center"/>
    </xf>
    <xf numFmtId="4" fontId="16" fillId="0" borderId="0" xfId="0" applyFont="1" applyFill="1" applyBorder="1" applyAlignment="1">
      <alignment horizontal="center" vertical="center"/>
    </xf>
    <xf numFmtId="4" fontId="16" fillId="0" borderId="0" xfId="0" applyFont="1" applyFill="1" applyBorder="1" applyAlignment="1">
      <alignment horizontal="right" vertical="center"/>
    </xf>
    <xf numFmtId="169" fontId="16" fillId="0" borderId="0" xfId="0" applyNumberFormat="1" applyFont="1" applyFill="1" applyBorder="1" applyAlignment="1">
      <alignment horizontal="center" vertical="center"/>
    </xf>
    <xf numFmtId="4" fontId="16" fillId="0" borderId="0" xfId="0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4" fontId="16" fillId="0" borderId="0" xfId="0" applyFont="1" applyFill="1" applyBorder="1" applyAlignment="1">
      <alignment vertical="center"/>
    </xf>
    <xf numFmtId="4" fontId="19" fillId="0" borderId="0" xfId="0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left" vertical="center"/>
    </xf>
    <xf numFmtId="9" fontId="16" fillId="0" borderId="0" xfId="1" applyFont="1" applyFill="1" applyBorder="1" applyAlignment="1">
      <alignment horizontal="left" vertical="center"/>
    </xf>
    <xf numFmtId="4" fontId="16" fillId="0" borderId="0" xfId="0" applyFont="1" applyFill="1" applyBorder="1" applyAlignment="1">
      <alignment horizontal="center" vertical="center"/>
    </xf>
    <xf numFmtId="4" fontId="20" fillId="0" borderId="0" xfId="0" applyFont="1" applyFill="1" applyBorder="1" applyAlignment="1">
      <alignment horizontal="left" vertical="center"/>
    </xf>
    <xf numFmtId="4" fontId="19" fillId="0" borderId="0" xfId="0" applyFont="1" applyFill="1" applyBorder="1" applyAlignment="1">
      <alignment horizontal="center" vertical="center"/>
    </xf>
    <xf numFmtId="4" fontId="16" fillId="0" borderId="0" xfId="0" applyFont="1" applyBorder="1" applyAlignment="1">
      <alignment horizontal="center" vertical="center"/>
    </xf>
    <xf numFmtId="4" fontId="16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4" fontId="16" fillId="0" borderId="0" xfId="0" applyFont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0" xfId="0" quotePrefix="1" applyFont="1" applyFill="1" applyBorder="1" applyAlignment="1">
      <alignment horizontal="left" vertical="center"/>
    </xf>
    <xf numFmtId="172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22" fillId="0" borderId="0" xfId="0" applyFont="1" applyFill="1" applyBorder="1" applyAlignment="1">
      <alignment horizontal="center" vertical="center" wrapText="1"/>
    </xf>
    <xf numFmtId="171" fontId="16" fillId="0" borderId="0" xfId="0" quotePrefix="1" applyNumberFormat="1" applyFont="1" applyFill="1" applyBorder="1" applyAlignment="1">
      <alignment horizontal="left" vertical="center"/>
    </xf>
    <xf numFmtId="4" fontId="16" fillId="0" borderId="0" xfId="0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center"/>
    </xf>
    <xf numFmtId="4" fontId="16" fillId="0" borderId="0" xfId="0" applyFont="1" applyBorder="1" applyAlignment="1">
      <alignment horizontal="center" vertical="top"/>
    </xf>
    <xf numFmtId="4" fontId="24" fillId="0" borderId="0" xfId="0" applyFont="1" applyBorder="1" applyAlignment="1">
      <alignment horizontal="left" vertical="top"/>
    </xf>
    <xf numFmtId="4" fontId="16" fillId="0" borderId="28" xfId="0" quotePrefix="1" applyFont="1" applyFill="1" applyBorder="1" applyAlignment="1">
      <alignment horizontal="left" vertical="center"/>
    </xf>
    <xf numFmtId="4" fontId="16" fillId="0" borderId="29" xfId="0" applyFont="1" applyFill="1" applyBorder="1" applyAlignment="1">
      <alignment vertical="center" wrapText="1"/>
    </xf>
    <xf numFmtId="4" fontId="16" fillId="0" borderId="30" xfId="0" applyFont="1" applyFill="1" applyBorder="1" applyAlignment="1">
      <alignment horizontal="right" vertical="center"/>
    </xf>
    <xf numFmtId="4" fontId="19" fillId="0" borderId="1" xfId="0" applyFont="1" applyFill="1" applyBorder="1" applyAlignment="1">
      <alignment horizontal="right" vertical="center"/>
    </xf>
    <xf numFmtId="4" fontId="16" fillId="0" borderId="1" xfId="0" applyFont="1" applyFill="1" applyBorder="1" applyAlignment="1">
      <alignment horizontal="center" vertical="center"/>
    </xf>
    <xf numFmtId="4" fontId="16" fillId="0" borderId="1" xfId="0" applyFont="1" applyFill="1" applyBorder="1" applyAlignment="1">
      <alignment horizontal="left" vertical="center"/>
    </xf>
    <xf numFmtId="4" fontId="16" fillId="0" borderId="1" xfId="0" applyFont="1" applyFill="1" applyBorder="1" applyAlignment="1">
      <alignment vertical="center" wrapText="1"/>
    </xf>
    <xf numFmtId="4" fontId="10" fillId="6" borderId="0" xfId="0" applyFont="1" applyFill="1" applyBorder="1" applyAlignment="1">
      <alignment horizontal="center" vertical="center"/>
    </xf>
    <xf numFmtId="2" fontId="9" fillId="6" borderId="0" xfId="0" applyNumberFormat="1" applyFont="1" applyFill="1" applyBorder="1" applyAlignment="1">
      <alignment horizontal="center" vertical="center"/>
    </xf>
    <xf numFmtId="4" fontId="9" fillId="6" borderId="0" xfId="0" applyFont="1" applyFill="1" applyBorder="1" applyAlignment="1">
      <alignment horizontal="left" vertical="center"/>
    </xf>
    <xf numFmtId="9" fontId="9" fillId="6" borderId="0" xfId="1" applyFont="1" applyFill="1" applyBorder="1" applyAlignment="1">
      <alignment horizontal="center" vertical="center"/>
    </xf>
    <xf numFmtId="4" fontId="16" fillId="0" borderId="32" xfId="0" applyFont="1" applyBorder="1" applyAlignment="1">
      <alignment horizontal="center" vertical="center" wrapText="1"/>
    </xf>
    <xf numFmtId="2" fontId="16" fillId="0" borderId="31" xfId="0" applyNumberFormat="1" applyFont="1" applyFill="1" applyBorder="1" applyAlignment="1">
      <alignment horizontal="center" vertical="center"/>
    </xf>
    <xf numFmtId="4" fontId="25" fillId="0" borderId="0" xfId="0" applyFont="1" applyFill="1" applyBorder="1" applyAlignment="1">
      <alignment horizontal="left"/>
    </xf>
    <xf numFmtId="4" fontId="25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" fontId="25" fillId="0" borderId="0" xfId="0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3" fontId="25" fillId="0" borderId="0" xfId="1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171" fontId="25" fillId="0" borderId="0" xfId="0" applyNumberFormat="1" applyFont="1" applyFill="1" applyBorder="1" applyAlignment="1">
      <alignment horizontal="left"/>
    </xf>
    <xf numFmtId="170" fontId="25" fillId="0" borderId="0" xfId="0" applyNumberFormat="1" applyFont="1" applyFill="1" applyBorder="1" applyAlignment="1">
      <alignment horizontal="right"/>
    </xf>
    <xf numFmtId="171" fontId="25" fillId="0" borderId="0" xfId="0" applyNumberFormat="1" applyFont="1" applyFill="1" applyBorder="1" applyAlignment="1">
      <alignment horizontal="center"/>
    </xf>
    <xf numFmtId="170" fontId="25" fillId="0" borderId="0" xfId="0" quotePrefix="1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center"/>
    </xf>
    <xf numFmtId="4" fontId="25" fillId="0" borderId="1" xfId="0" applyFont="1" applyFill="1" applyBorder="1" applyAlignment="1">
      <alignment horizontal="center"/>
    </xf>
    <xf numFmtId="4" fontId="28" fillId="0" borderId="0" xfId="0" applyFont="1" applyFill="1" applyBorder="1" applyAlignment="1">
      <alignment horizontal="right"/>
    </xf>
    <xf numFmtId="4" fontId="28" fillId="0" borderId="0" xfId="0" applyFont="1" applyFill="1" applyBorder="1" applyAlignment="1">
      <alignment horizontal="left"/>
    </xf>
    <xf numFmtId="4" fontId="31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right"/>
    </xf>
    <xf numFmtId="4" fontId="28" fillId="0" borderId="0" xfId="0" applyFont="1" applyFill="1" applyBorder="1" applyAlignment="1">
      <alignment horizontal="center"/>
    </xf>
    <xf numFmtId="4" fontId="29" fillId="0" borderId="0" xfId="0" applyFont="1" applyFill="1" applyBorder="1" applyAlignment="1">
      <alignment horizontal="right"/>
    </xf>
    <xf numFmtId="9" fontId="28" fillId="0" borderId="0" xfId="1" applyFont="1" applyFill="1" applyBorder="1" applyAlignment="1">
      <alignment horizontal="left"/>
    </xf>
    <xf numFmtId="4" fontId="28" fillId="0" borderId="0" xfId="0" quotePrefix="1" applyFont="1" applyFill="1" applyBorder="1" applyAlignment="1">
      <alignment horizontal="center"/>
    </xf>
    <xf numFmtId="4" fontId="28" fillId="0" borderId="30" xfId="0" applyFont="1" applyFill="1" applyBorder="1" applyAlignment="1">
      <alignment horizontal="right"/>
    </xf>
    <xf numFmtId="4" fontId="28" fillId="0" borderId="31" xfId="0" applyFont="1" applyFill="1" applyBorder="1" applyAlignment="1">
      <alignment horizontal="left"/>
    </xf>
    <xf numFmtId="4" fontId="37" fillId="9" borderId="0" xfId="0" applyFont="1" applyFill="1" applyBorder="1" applyAlignment="1">
      <alignment horizontal="right"/>
    </xf>
    <xf numFmtId="3" fontId="37" fillId="9" borderId="0" xfId="0" applyNumberFormat="1" applyFont="1" applyFill="1" applyBorder="1" applyAlignment="1">
      <alignment horizontal="left"/>
    </xf>
    <xf numFmtId="4" fontId="0" fillId="0" borderId="0" xfId="0" applyFill="1" applyAlignment="1">
      <alignment horizontal="center" vertical="center"/>
    </xf>
    <xf numFmtId="4" fontId="0" fillId="0" borderId="0" xfId="0" applyFill="1" applyBorder="1" applyAlignment="1">
      <alignment horizontal="center" vertical="center"/>
    </xf>
    <xf numFmtId="4" fontId="9" fillId="0" borderId="0" xfId="0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center" vertical="center"/>
    </xf>
    <xf numFmtId="171" fontId="9" fillId="0" borderId="0" xfId="0" applyNumberFormat="1" applyFont="1" applyFill="1" applyBorder="1" applyAlignment="1">
      <alignment horizontal="center" vertical="center"/>
    </xf>
    <xf numFmtId="4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4" fontId="41" fillId="0" borderId="0" xfId="0" applyFont="1" applyFill="1" applyBorder="1" applyAlignment="1">
      <alignment horizontal="center" vertical="center"/>
    </xf>
    <xf numFmtId="4" fontId="41" fillId="0" borderId="0" xfId="0" applyFont="1" applyAlignment="1">
      <alignment horizontal="center" vertical="center"/>
    </xf>
    <xf numFmtId="4" fontId="41" fillId="0" borderId="0" xfId="0" applyFont="1" applyFill="1" applyAlignment="1">
      <alignment horizontal="center" vertical="center"/>
    </xf>
    <xf numFmtId="4" fontId="41" fillId="0" borderId="0" xfId="0" applyFont="1" applyBorder="1" applyAlignment="1">
      <alignment horizontal="center" vertical="center"/>
    </xf>
    <xf numFmtId="171" fontId="41" fillId="0" borderId="0" xfId="0" applyNumberFormat="1" applyFont="1" applyFill="1" applyBorder="1" applyAlignment="1">
      <alignment horizontal="center" vertical="center"/>
    </xf>
    <xf numFmtId="4" fontId="43" fillId="0" borderId="0" xfId="0" applyFont="1" applyFill="1" applyBorder="1" applyAlignment="1">
      <alignment horizontal="left" vertical="center"/>
    </xf>
    <xf numFmtId="4" fontId="43" fillId="0" borderId="0" xfId="0" applyFont="1" applyFill="1" applyAlignment="1">
      <alignment horizontal="center" vertical="center"/>
    </xf>
    <xf numFmtId="4" fontId="42" fillId="0" borderId="0" xfId="0" applyFont="1" applyFill="1" applyBorder="1" applyAlignment="1">
      <alignment horizontal="left" vertical="center"/>
    </xf>
    <xf numFmtId="4" fontId="43" fillId="0" borderId="0" xfId="0" applyFont="1" applyAlignment="1">
      <alignment horizontal="center" vertical="center"/>
    </xf>
    <xf numFmtId="4" fontId="46" fillId="10" borderId="33" xfId="0" applyFont="1" applyFill="1" applyBorder="1" applyAlignment="1">
      <alignment horizontal="center" vertical="center"/>
    </xf>
    <xf numFmtId="4" fontId="46" fillId="10" borderId="0" xfId="0" applyNumberFormat="1" applyFont="1" applyFill="1" applyBorder="1" applyAlignment="1">
      <alignment horizontal="left" vertical="center"/>
    </xf>
    <xf numFmtId="4" fontId="46" fillId="10" borderId="0" xfId="0" applyNumberFormat="1" applyFont="1" applyFill="1" applyBorder="1" applyAlignment="1">
      <alignment horizontal="center" vertical="center"/>
    </xf>
    <xf numFmtId="4" fontId="46" fillId="10" borderId="34" xfId="0" applyFont="1" applyFill="1" applyBorder="1" applyAlignment="1">
      <alignment horizontal="center" vertical="center"/>
    </xf>
    <xf numFmtId="4" fontId="46" fillId="10" borderId="0" xfId="0" applyFont="1" applyFill="1" applyBorder="1" applyAlignment="1">
      <alignment horizontal="center" vertical="center"/>
    </xf>
    <xf numFmtId="4" fontId="46" fillId="10" borderId="35" xfId="0" applyFont="1" applyFill="1" applyBorder="1" applyAlignment="1">
      <alignment horizontal="center" vertical="center"/>
    </xf>
    <xf numFmtId="4" fontId="46" fillId="10" borderId="36" xfId="0" applyFont="1" applyFill="1" applyBorder="1" applyAlignment="1">
      <alignment horizontal="center" vertical="center"/>
    </xf>
    <xf numFmtId="4" fontId="46" fillId="10" borderId="36" xfId="0" applyNumberFormat="1" applyFont="1" applyFill="1" applyBorder="1" applyAlignment="1">
      <alignment horizontal="left" vertical="center"/>
    </xf>
    <xf numFmtId="4" fontId="46" fillId="10" borderId="37" xfId="0" applyFont="1" applyFill="1" applyBorder="1" applyAlignment="1">
      <alignment horizontal="center" vertical="center"/>
    </xf>
    <xf numFmtId="4" fontId="46" fillId="10" borderId="33" xfId="0" applyFont="1" applyFill="1" applyBorder="1" applyAlignment="1">
      <alignment horizontal="left" vertical="center"/>
    </xf>
    <xf numFmtId="4" fontId="46" fillId="10" borderId="0" xfId="0" applyFont="1" applyFill="1" applyBorder="1" applyAlignment="1">
      <alignment horizontal="right" vertical="center"/>
    </xf>
    <xf numFmtId="171" fontId="46" fillId="10" borderId="0" xfId="0" applyNumberFormat="1" applyFont="1" applyFill="1" applyBorder="1" applyAlignment="1">
      <alignment horizontal="left" vertical="center"/>
    </xf>
    <xf numFmtId="171" fontId="46" fillId="10" borderId="34" xfId="0" applyNumberFormat="1" applyFont="1" applyFill="1" applyBorder="1" applyAlignment="1">
      <alignment horizontal="center" vertical="center"/>
    </xf>
    <xf numFmtId="4" fontId="46" fillId="10" borderId="34" xfId="0" applyFont="1" applyFill="1" applyBorder="1" applyAlignment="1">
      <alignment horizontal="right" vertical="center"/>
    </xf>
    <xf numFmtId="4" fontId="46" fillId="10" borderId="33" xfId="0" applyFont="1" applyFill="1" applyBorder="1" applyAlignment="1">
      <alignment horizontal="right" vertical="center"/>
    </xf>
    <xf numFmtId="4" fontId="46" fillId="10" borderId="37" xfId="0" applyFont="1" applyFill="1" applyBorder="1" applyAlignment="1">
      <alignment horizontal="right" vertical="center"/>
    </xf>
    <xf numFmtId="4" fontId="47" fillId="11" borderId="0" xfId="0" applyFont="1" applyFill="1" applyAlignment="1">
      <alignment horizontal="right" vertical="center"/>
    </xf>
    <xf numFmtId="4" fontId="46" fillId="11" borderId="0" xfId="0" applyFont="1" applyFill="1" applyAlignment="1">
      <alignment horizontal="left" vertical="center"/>
    </xf>
    <xf numFmtId="4" fontId="46" fillId="11" borderId="0" xfId="0" applyFont="1" applyFill="1" applyAlignment="1">
      <alignment horizontal="center" vertical="center"/>
    </xf>
    <xf numFmtId="4" fontId="48" fillId="10" borderId="33" xfId="0" applyFont="1" applyFill="1" applyBorder="1" applyAlignment="1">
      <alignment horizontal="left" vertical="center"/>
    </xf>
    <xf numFmtId="167" fontId="0" fillId="7" borderId="0" xfId="2" applyFont="1" applyFill="1" applyBorder="1" applyAlignment="1">
      <alignment horizontal="right" vertical="center"/>
    </xf>
    <xf numFmtId="4" fontId="38" fillId="12" borderId="4" xfId="0" applyFont="1" applyFill="1" applyBorder="1" applyAlignment="1">
      <alignment horizontal="center"/>
    </xf>
    <xf numFmtId="170" fontId="38" fillId="12" borderId="0" xfId="0" applyNumberFormat="1" applyFont="1" applyFill="1" applyBorder="1" applyAlignment="1">
      <alignment horizontal="center"/>
    </xf>
    <xf numFmtId="4" fontId="37" fillId="13" borderId="0" xfId="0" applyFont="1" applyFill="1" applyBorder="1" applyAlignment="1">
      <alignment horizontal="center"/>
    </xf>
    <xf numFmtId="4" fontId="35" fillId="13" borderId="4" xfId="0" applyFont="1" applyFill="1" applyBorder="1" applyAlignment="1">
      <alignment horizontal="center"/>
    </xf>
    <xf numFmtId="4" fontId="37" fillId="13" borderId="12" xfId="0" applyFont="1" applyFill="1" applyBorder="1" applyAlignment="1">
      <alignment horizontal="center"/>
    </xf>
    <xf numFmtId="4" fontId="35" fillId="13" borderId="0" xfId="0" applyFont="1" applyFill="1" applyBorder="1" applyAlignment="1">
      <alignment horizontal="right"/>
    </xf>
    <xf numFmtId="4" fontId="37" fillId="13" borderId="0" xfId="0" applyFont="1" applyFill="1" applyBorder="1" applyAlignment="1">
      <alignment horizontal="left"/>
    </xf>
    <xf numFmtId="4" fontId="37" fillId="13" borderId="4" xfId="0" applyFont="1" applyFill="1" applyBorder="1" applyAlignment="1">
      <alignment horizontal="center"/>
    </xf>
    <xf numFmtId="4" fontId="16" fillId="0" borderId="3" xfId="0" applyFont="1" applyFill="1" applyBorder="1" applyAlignment="1">
      <alignment vertical="center"/>
    </xf>
    <xf numFmtId="4" fontId="16" fillId="0" borderId="0" xfId="0" applyFont="1" applyFill="1" applyBorder="1" applyAlignment="1">
      <alignment vertical="center"/>
    </xf>
    <xf numFmtId="4" fontId="3" fillId="2" borderId="0" xfId="0" applyFont="1" applyFill="1" applyBorder="1" applyAlignment="1">
      <alignment horizontal="center" vertical="center"/>
    </xf>
    <xf numFmtId="4" fontId="10" fillId="4" borderId="4" xfId="0" applyFont="1" applyFill="1" applyBorder="1" applyAlignment="1">
      <alignment horizontal="center" vertical="center"/>
    </xf>
    <xf numFmtId="4" fontId="9" fillId="5" borderId="4" xfId="0" applyFont="1" applyFill="1" applyBorder="1" applyAlignment="1">
      <alignment horizontal="center" vertical="center"/>
    </xf>
    <xf numFmtId="4" fontId="9" fillId="5" borderId="0" xfId="0" applyFont="1" applyFill="1" applyAlignment="1">
      <alignment horizontal="center" vertical="center"/>
    </xf>
    <xf numFmtId="171" fontId="9" fillId="3" borderId="0" xfId="0" applyNumberFormat="1" applyFont="1" applyFill="1" applyBorder="1" applyAlignment="1">
      <alignment horizontal="center" vertical="center"/>
    </xf>
    <xf numFmtId="4" fontId="12" fillId="6" borderId="1" xfId="0" applyFont="1" applyFill="1" applyBorder="1" applyAlignment="1">
      <alignment horizontal="center" vertical="center"/>
    </xf>
    <xf numFmtId="4" fontId="9" fillId="6" borderId="0" xfId="0" applyFont="1" applyFill="1" applyBorder="1" applyAlignment="1">
      <alignment horizontal="center" vertical="center"/>
    </xf>
    <xf numFmtId="4" fontId="9" fillId="3" borderId="0" xfId="0" applyFont="1" applyFill="1" applyBorder="1" applyAlignment="1">
      <alignment horizontal="left" vertical="center"/>
    </xf>
    <xf numFmtId="4" fontId="12" fillId="3" borderId="0" xfId="0" applyFont="1" applyFill="1" applyBorder="1" applyAlignment="1">
      <alignment horizontal="left" vertical="center"/>
    </xf>
    <xf numFmtId="4" fontId="9" fillId="6" borderId="0" xfId="0" quotePrefix="1" applyFont="1" applyFill="1" applyBorder="1" applyAlignment="1">
      <alignment horizontal="center" vertical="center"/>
    </xf>
    <xf numFmtId="4" fontId="31" fillId="0" borderId="0" xfId="0" applyFont="1" applyFill="1" applyBorder="1" applyAlignment="1">
      <alignment horizontal="center" vertical="center"/>
    </xf>
    <xf numFmtId="4" fontId="25" fillId="0" borderId="0" xfId="0" applyFont="1" applyFill="1" applyBorder="1" applyAlignment="1">
      <alignment horizontal="center"/>
    </xf>
    <xf numFmtId="4" fontId="31" fillId="0" borderId="0" xfId="0" applyFont="1" applyFill="1" applyBorder="1" applyAlignment="1">
      <alignment horizontal="center"/>
    </xf>
    <xf numFmtId="4" fontId="42" fillId="0" borderId="0" xfId="0" applyFont="1" applyFill="1" applyBorder="1" applyAlignment="1">
      <alignment horizontal="left" vertical="center"/>
    </xf>
    <xf numFmtId="4" fontId="49" fillId="0" borderId="0" xfId="0" applyFont="1" applyAlignment="1">
      <alignment horizontal="center" vertical="center"/>
    </xf>
    <xf numFmtId="4" fontId="46" fillId="10" borderId="38" xfId="0" applyFont="1" applyFill="1" applyBorder="1" applyAlignment="1">
      <alignment horizontal="center" vertical="center"/>
    </xf>
    <xf numFmtId="4" fontId="46" fillId="10" borderId="39" xfId="0" applyFont="1" applyFill="1" applyBorder="1" applyAlignment="1">
      <alignment horizontal="center" vertical="center"/>
    </xf>
    <xf numFmtId="4" fontId="46" fillId="10" borderId="40" xfId="0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4" fontId="9" fillId="6" borderId="15" xfId="0" quotePrefix="1" applyFont="1" applyFill="1" applyBorder="1" applyAlignment="1">
      <alignment horizontal="center" vertical="center"/>
    </xf>
    <xf numFmtId="4" fontId="9" fillId="6" borderId="15" xfId="0" applyFont="1" applyFill="1" applyBorder="1" applyAlignment="1">
      <alignment horizontal="center" vertical="center"/>
    </xf>
    <xf numFmtId="4" fontId="9" fillId="6" borderId="17" xfId="0" quotePrefix="1" applyFont="1" applyFill="1" applyBorder="1" applyAlignment="1">
      <alignment horizontal="center" vertical="center"/>
    </xf>
    <xf numFmtId="4" fontId="9" fillId="6" borderId="17" xfId="0" applyFont="1" applyFill="1" applyBorder="1" applyAlignment="1">
      <alignment horizontal="center" vertical="center"/>
    </xf>
    <xf numFmtId="4" fontId="9" fillId="6" borderId="16" xfId="0" quotePrefix="1" applyFont="1" applyFill="1" applyBorder="1" applyAlignment="1">
      <alignment horizontal="center" vertical="center"/>
    </xf>
    <xf numFmtId="4" fontId="12" fillId="6" borderId="0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3" fontId="10" fillId="4" borderId="12" xfId="0" applyNumberFormat="1" applyFont="1" applyFill="1" applyBorder="1" applyAlignment="1">
      <alignment horizontal="right" vertical="center"/>
    </xf>
    <xf numFmtId="4" fontId="9" fillId="5" borderId="19" xfId="0" applyFont="1" applyFill="1" applyBorder="1" applyAlignment="1">
      <alignment horizontal="right" vertical="center" textRotation="90" wrapText="1"/>
    </xf>
    <xf numFmtId="4" fontId="9" fillId="5" borderId="0" xfId="0" applyFont="1" applyFill="1" applyBorder="1" applyAlignment="1">
      <alignment horizontal="right" vertical="center" textRotation="90" wrapText="1"/>
    </xf>
    <xf numFmtId="4" fontId="9" fillId="5" borderId="11" xfId="0" applyFont="1" applyFill="1" applyBorder="1" applyAlignment="1">
      <alignment horizontal="right" vertical="center" textRotation="90" wrapText="1"/>
    </xf>
    <xf numFmtId="4" fontId="12" fillId="4" borderId="0" xfId="0" applyFont="1" applyFill="1" applyBorder="1" applyAlignment="1">
      <alignment horizontal="center" vertical="center"/>
    </xf>
    <xf numFmtId="4" fontId="9" fillId="4" borderId="13" xfId="0" applyFont="1" applyFill="1" applyBorder="1" applyAlignment="1">
      <alignment horizontal="right" vertical="center" wrapText="1"/>
    </xf>
    <xf numFmtId="4" fontId="9" fillId="4" borderId="7" xfId="0" applyFont="1" applyFill="1" applyBorder="1" applyAlignment="1">
      <alignment horizontal="right" vertical="center" wrapText="1"/>
    </xf>
    <xf numFmtId="4" fontId="9" fillId="4" borderId="8" xfId="0" applyFont="1" applyFill="1" applyBorder="1" applyAlignment="1">
      <alignment horizontal="right" vertical="center" wrapText="1"/>
    </xf>
    <xf numFmtId="4" fontId="9" fillId="4" borderId="9" xfId="0" applyFont="1" applyFill="1" applyBorder="1" applyAlignment="1">
      <alignment horizontal="right" vertical="center" textRotation="90" wrapText="1"/>
    </xf>
    <xf numFmtId="3" fontId="10" fillId="4" borderId="26" xfId="0" applyNumberFormat="1" applyFont="1" applyFill="1" applyBorder="1" applyAlignment="1">
      <alignment horizontal="right" vertical="center"/>
    </xf>
    <xf numFmtId="4" fontId="9" fillId="5" borderId="6" xfId="0" applyFont="1" applyFill="1" applyBorder="1" applyAlignment="1">
      <alignment horizontal="right" vertical="center" wrapText="1"/>
    </xf>
    <xf numFmtId="4" fontId="9" fillId="5" borderId="16" xfId="0" applyFont="1" applyFill="1" applyBorder="1" applyAlignment="1">
      <alignment horizontal="right" vertical="center" wrapText="1"/>
    </xf>
    <xf numFmtId="4" fontId="9" fillId="5" borderId="22" xfId="0" applyFont="1" applyFill="1" applyBorder="1" applyAlignment="1">
      <alignment horizontal="right" vertical="center" wrapText="1"/>
    </xf>
    <xf numFmtId="4" fontId="9" fillId="5" borderId="21" xfId="0" applyFont="1" applyFill="1" applyBorder="1" applyAlignment="1">
      <alignment horizontal="right" vertical="center" wrapText="1"/>
    </xf>
    <xf numFmtId="4" fontId="7" fillId="3" borderId="0" xfId="0" applyFont="1" applyFill="1" applyBorder="1" applyAlignment="1">
      <alignment horizontal="left"/>
    </xf>
    <xf numFmtId="3" fontId="10" fillId="4" borderId="25" xfId="0" applyNumberFormat="1" applyFont="1" applyFill="1" applyBorder="1" applyAlignment="1">
      <alignment horizontal="right" vertical="center"/>
    </xf>
    <xf numFmtId="3" fontId="10" fillId="4" borderId="20" xfId="0" applyNumberFormat="1" applyFont="1" applyFill="1" applyBorder="1" applyAlignment="1">
      <alignment horizontal="right" vertical="center"/>
    </xf>
    <xf numFmtId="3" fontId="9" fillId="4" borderId="12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</cellXfs>
  <cellStyles count="5">
    <cellStyle name="Currency" xfId="2" builtinId="4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mu</c:v>
          </c:tx>
          <c:spPr>
            <a:solidFill>
              <a:srgbClr val="3366FF"/>
            </a:solidFill>
            <a:ln>
              <a:solidFill>
                <a:schemeClr val="accent1"/>
              </a:solidFill>
            </a:ln>
          </c:spPr>
          <c:cat>
            <c:numRef>
              <c:f>'Tacoma Syndrome'!$G$3</c:f>
              <c:numCache>
                <c:formatCode>#,##0.00</c:formatCode>
                <c:ptCount val="1"/>
              </c:numCache>
            </c:numRef>
          </c:cat>
          <c:val>
            <c:numRef>
              <c:f>'Tacoma Syndrome'!$H$3</c:f>
              <c:numCache>
                <c:formatCode>#,##0.00</c:formatCode>
                <c:ptCount val="1"/>
                <c:pt idx="0">
                  <c:v>99.5</c:v>
                </c:pt>
              </c:numCache>
            </c:numRef>
          </c:val>
        </c:ser>
        <c:ser>
          <c:idx val="2"/>
          <c:order val="1"/>
          <c:tx>
            <c:v>M</c:v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</c:spPr>
          <c:errBars>
            <c:errBarType val="both"/>
            <c:errValType val="cust"/>
            <c:plus>
              <c:numRef>
                <c:f>'Tacoma Syndrome'!$J$3</c:f>
                <c:numCache>
                  <c:formatCode>General</c:formatCode>
                  <c:ptCount val="1"/>
                  <c:pt idx="0">
                    <c:v>0.866996304038094</c:v>
                  </c:pt>
                </c:numCache>
              </c:numRef>
            </c:plus>
            <c:minus>
              <c:numRef>
                <c:f>'Tacoma Syndrome'!$J$3</c:f>
                <c:numCache>
                  <c:formatCode>General</c:formatCode>
                  <c:ptCount val="1"/>
                  <c:pt idx="0">
                    <c:v>0.866996304038094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numRef>
              <c:f>'Tacoma Syndrome'!$G$3</c:f>
              <c:numCache>
                <c:formatCode>#,##0.00</c:formatCode>
                <c:ptCount val="1"/>
              </c:numCache>
            </c:numRef>
          </c:cat>
          <c:val>
            <c:numRef>
              <c:f>'Tacoma Syndrome'!$I$3</c:f>
              <c:numCache>
                <c:formatCode>#,##0.00</c:formatCode>
                <c:ptCount val="1"/>
                <c:pt idx="0">
                  <c:v>99.3</c:v>
                </c:pt>
              </c:numCache>
            </c:numRef>
          </c:val>
        </c:ser>
        <c:axId val="476946072"/>
        <c:axId val="468099832"/>
      </c:barChart>
      <c:catAx>
        <c:axId val="4769460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         Mean</a:t>
                </a:r>
              </a:p>
            </c:rich>
          </c:tx>
        </c:title>
        <c:numFmt formatCode="#,##0.00" sourceLinked="1"/>
        <c:tickLblPos val="nextTo"/>
        <c:crossAx val="468099832"/>
        <c:crosses val="autoZero"/>
        <c:auto val="1"/>
        <c:lblAlgn val="ctr"/>
        <c:lblOffset val="100"/>
      </c:catAx>
      <c:valAx>
        <c:axId val="468099832"/>
        <c:scaling>
          <c:orientation val="minMax"/>
          <c:max val="101.0"/>
          <c:min val="98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TS Patent Mean Temperature</a:t>
                </a:r>
              </a:p>
            </c:rich>
          </c:tx>
        </c:title>
        <c:numFmt formatCode="#,##0" sourceLinked="0"/>
        <c:tickLblPos val="nextTo"/>
        <c:crossAx val="476946072"/>
        <c:crosses val="autoZero"/>
        <c:crossBetween val="between"/>
        <c:majorUnit val="1.0"/>
      </c:valAx>
    </c:plotArea>
    <c:plotVisOnly val="1"/>
    <c:dispBlanksAs val="gap"/>
  </c:chart>
  <c:spPr>
    <a:solidFill>
      <a:schemeClr val="bg1">
        <a:lumMod val="65000"/>
      </a:schemeClr>
    </a:solidFill>
    <a:ln w="1905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autoTitleDeleted val="1"/>
    <c:plotArea>
      <c:layout/>
      <c:scatterChart>
        <c:scatterStyle val="lineMarker"/>
        <c:ser>
          <c:idx val="4"/>
          <c:order val="0"/>
          <c:tx>
            <c:v>All conditions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False'!$W$7:$W$55</c:f>
              <c:numCache>
                <c:formatCode>#,##0.00</c:formatCode>
                <c:ptCount val="49"/>
                <c:pt idx="0">
                  <c:v>69.63343685400051</c:v>
                </c:pt>
                <c:pt idx="1">
                  <c:v>69.85248024771477</c:v>
                </c:pt>
                <c:pt idx="2">
                  <c:v>70.07152364142902</c:v>
                </c:pt>
                <c:pt idx="3">
                  <c:v>70.29056703514328</c:v>
                </c:pt>
                <c:pt idx="4">
                  <c:v>70.50961042885754</c:v>
                </c:pt>
                <c:pt idx="5">
                  <c:v>70.7286538225718</c:v>
                </c:pt>
                <c:pt idx="6">
                  <c:v>70.94769721628605</c:v>
                </c:pt>
                <c:pt idx="7">
                  <c:v>71.16674061000033</c:v>
                </c:pt>
                <c:pt idx="8">
                  <c:v>71.38578400371459</c:v>
                </c:pt>
                <c:pt idx="9">
                  <c:v>71.60482739742885</c:v>
                </c:pt>
                <c:pt idx="10">
                  <c:v>71.82387079114312</c:v>
                </c:pt>
                <c:pt idx="11">
                  <c:v>72.04291418485738</c:v>
                </c:pt>
                <c:pt idx="12">
                  <c:v>72.26195757857164</c:v>
                </c:pt>
                <c:pt idx="13">
                  <c:v>72.4810009722859</c:v>
                </c:pt>
                <c:pt idx="14">
                  <c:v>72.70004436600015</c:v>
                </c:pt>
                <c:pt idx="15">
                  <c:v>72.91908775971441</c:v>
                </c:pt>
                <c:pt idx="16">
                  <c:v>73.13813115342867</c:v>
                </c:pt>
                <c:pt idx="17">
                  <c:v>73.35717454714293</c:v>
                </c:pt>
                <c:pt idx="18">
                  <c:v>73.5762179408572</c:v>
                </c:pt>
                <c:pt idx="19">
                  <c:v>73.79526133457145</c:v>
                </c:pt>
                <c:pt idx="20">
                  <c:v>74.0143047282857</c:v>
                </c:pt>
                <c:pt idx="21">
                  <c:v>74.23334812199997</c:v>
                </c:pt>
                <c:pt idx="22">
                  <c:v>74.45239151571424</c:v>
                </c:pt>
                <c:pt idx="23">
                  <c:v>74.6714349094285</c:v>
                </c:pt>
                <c:pt idx="24">
                  <c:v>74.89047830314276</c:v>
                </c:pt>
                <c:pt idx="25">
                  <c:v>75.10952169685701</c:v>
                </c:pt>
                <c:pt idx="26">
                  <c:v>75.32856509057127</c:v>
                </c:pt>
                <c:pt idx="27">
                  <c:v>75.54760848428554</c:v>
                </c:pt>
                <c:pt idx="28">
                  <c:v>75.76665187799981</c:v>
                </c:pt>
                <c:pt idx="29">
                  <c:v>75.98569527171406</c:v>
                </c:pt>
                <c:pt idx="30">
                  <c:v>76.20473866542832</c:v>
                </c:pt>
                <c:pt idx="31">
                  <c:v>76.42378205914258</c:v>
                </c:pt>
                <c:pt idx="32">
                  <c:v>76.64282545285684</c:v>
                </c:pt>
                <c:pt idx="33">
                  <c:v>76.8618688465711</c:v>
                </c:pt>
                <c:pt idx="34">
                  <c:v>77.08091224028535</c:v>
                </c:pt>
                <c:pt idx="35">
                  <c:v>77.29995563399961</c:v>
                </c:pt>
                <c:pt idx="36">
                  <c:v>77.51899902771387</c:v>
                </c:pt>
                <c:pt idx="37">
                  <c:v>77.73804242142813</c:v>
                </c:pt>
                <c:pt idx="38">
                  <c:v>77.9570858151424</c:v>
                </c:pt>
                <c:pt idx="39">
                  <c:v>78.17612920885666</c:v>
                </c:pt>
                <c:pt idx="40">
                  <c:v>78.39517260257092</c:v>
                </c:pt>
                <c:pt idx="41">
                  <c:v>78.61421599628518</c:v>
                </c:pt>
                <c:pt idx="42">
                  <c:v>78.83325938999944</c:v>
                </c:pt>
                <c:pt idx="43">
                  <c:v>79.0523027837137</c:v>
                </c:pt>
                <c:pt idx="44">
                  <c:v>79.27134617742796</c:v>
                </c:pt>
                <c:pt idx="45">
                  <c:v>79.4903895711422</c:v>
                </c:pt>
                <c:pt idx="46">
                  <c:v>79.70943296485648</c:v>
                </c:pt>
                <c:pt idx="47">
                  <c:v>79.92847635857073</c:v>
                </c:pt>
                <c:pt idx="48">
                  <c:v>80.14751975228499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axId val="468110456"/>
        <c:axId val="468576136"/>
      </c:scatterChart>
      <c:valAx>
        <c:axId val="468110456"/>
        <c:scaling>
          <c:orientation val="minMax"/>
          <c:max val="100.0"/>
          <c:min val="50.0"/>
        </c:scaling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 = mu1 = mu2 = mu3</a:t>
                </a:r>
                <a:r>
                  <a:rPr lang="en-US" sz="1800" b="0" baseline="0"/>
                  <a:t> = mu4</a:t>
                </a:r>
                <a:endParaRPr lang="en-US" sz="1800" b="0"/>
              </a:p>
            </c:rich>
          </c:tx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468576136"/>
        <c:crosses val="autoZero"/>
        <c:crossBetween val="midCat"/>
      </c:valAx>
      <c:valAx>
        <c:axId val="46857613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tickLblPos val="nextTo"/>
        <c:crossAx val="468110456"/>
        <c:crosses val="autoZero"/>
        <c:crossBetween val="midCat"/>
      </c:valAx>
      <c:spPr>
        <a:solidFill>
          <a:schemeClr val="bg2"/>
        </a:solidFill>
      </c:spPr>
    </c:plotArea>
    <c:plotVisOnly val="1"/>
    <c:dispBlanksAs val="gap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75807699256105"/>
          <c:y val="0.0238649607818888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muj</c:v>
          </c:tx>
          <c:spPr>
            <a:solidFill>
              <a:schemeClr val="tx2">
                <a:lumMod val="60000"/>
                <a:lumOff val="40000"/>
              </a:schemeClr>
            </a:solidFill>
          </c:spPr>
          <c:errBars>
            <c:errBarType val="both"/>
            <c:errValType val="fixedVal"/>
            <c:noEndCap val="1"/>
            <c:val val="0.0"/>
          </c:errBars>
          <c:cat>
            <c:strRef>
              <c:f>'Unequal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'Unequal n''s'!$O$3:$O$6</c:f>
              <c:numCache>
                <c:formatCode>#,##0.0</c:formatCode>
                <c:ptCount val="4"/>
                <c:pt idx="0">
                  <c:v>5.0</c:v>
                </c:pt>
                <c:pt idx="1">
                  <c:v>2.0</c:v>
                </c:pt>
                <c:pt idx="2">
                  <c:v>5.8</c:v>
                </c:pt>
                <c:pt idx="3">
                  <c:v>3.0</c:v>
                </c:pt>
              </c:numCache>
            </c:numRef>
          </c:val>
        </c:ser>
        <c:ser>
          <c:idx val="1"/>
          <c:order val="1"/>
          <c:tx>
            <c:v>Mj</c:v>
          </c:tx>
          <c:spPr>
            <a:solidFill>
              <a:srgbClr val="FF0000"/>
            </a:solidFill>
          </c:spPr>
          <c:errBars>
            <c:errBarType val="both"/>
            <c:errValType val="cust"/>
            <c:plus>
              <c:numRef>
                <c:f>'Unequal n''s'!$Q$3:$Q$6</c:f>
                <c:numCache>
                  <c:formatCode>General</c:formatCode>
                  <c:ptCount val="4"/>
                  <c:pt idx="0">
                    <c:v>1.047757538225402</c:v>
                  </c:pt>
                  <c:pt idx="1">
                    <c:v>0.662660051280641</c:v>
                  </c:pt>
                  <c:pt idx="2">
                    <c:v>0.740876460318505</c:v>
                  </c:pt>
                  <c:pt idx="3">
                    <c:v>0.662660051280641</c:v>
                  </c:pt>
                </c:numCache>
              </c:numRef>
            </c:plus>
            <c:minus>
              <c:numRef>
                <c:f>'Unequal n''s'!$Q$3:$Q$6</c:f>
                <c:numCache>
                  <c:formatCode>General</c:formatCode>
                  <c:ptCount val="4"/>
                  <c:pt idx="0">
                    <c:v>1.047757538225402</c:v>
                  </c:pt>
                  <c:pt idx="1">
                    <c:v>0.662660051280641</c:v>
                  </c:pt>
                  <c:pt idx="2">
                    <c:v>0.740876460318505</c:v>
                  </c:pt>
                  <c:pt idx="3">
                    <c:v>0.662660051280641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strRef>
              <c:f>'Unequal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'Unequal n''s'!$P$3:$P$6</c:f>
              <c:numCache>
                <c:formatCode>#,##0.00</c:formatCode>
                <c:ptCount val="4"/>
                <c:pt idx="0">
                  <c:v>5.0</c:v>
                </c:pt>
                <c:pt idx="1">
                  <c:v>2.2</c:v>
                </c:pt>
                <c:pt idx="2">
                  <c:v>5.75</c:v>
                </c:pt>
                <c:pt idx="3">
                  <c:v>3.0</c:v>
                </c:pt>
              </c:numCache>
            </c:numRef>
          </c:val>
        </c:ser>
        <c:axId val="521183112"/>
        <c:axId val="524482392"/>
      </c:barChart>
      <c:catAx>
        <c:axId val="521183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Type of Alcohol</a:t>
                </a:r>
              </a:p>
            </c:rich>
          </c:tx>
        </c:title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524482392"/>
        <c:crosses val="autoZero"/>
        <c:auto val="1"/>
        <c:lblAlgn val="ctr"/>
        <c:lblOffset val="100"/>
      </c:catAx>
      <c:valAx>
        <c:axId val="524482392"/>
        <c:scaling>
          <c:orientation val="minMax"/>
          <c:max val="7.9"/>
          <c:min val="0.0"/>
        </c:scaling>
        <c:axPos val="l"/>
        <c:majorGridlines/>
        <c:title>
          <c:tx>
            <c:rich>
              <a:bodyPr anchor="b" anchorCtr="0"/>
              <a:lstStyle/>
              <a:p>
                <a:pPr>
                  <a:defRPr sz="2400" b="0"/>
                </a:pPr>
                <a:r>
                  <a:rPr lang="en-US" sz="2400" b="0"/>
                  <a:t>Hangover Rating</a:t>
                </a:r>
              </a:p>
            </c:rich>
          </c:tx>
          <c:layout>
            <c:manualLayout>
              <c:xMode val="edge"/>
              <c:yMode val="edge"/>
              <c:x val="0.00567226965821077"/>
              <c:y val="0.236282288751516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2400" b="0" i="0"/>
            </a:pPr>
            <a:endParaRPr lang="en-US"/>
          </a:p>
        </c:txPr>
        <c:crossAx val="521183112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372897396817412"/>
          <c:y val="0.140131951236879"/>
          <c:w val="0.33519102415537"/>
          <c:h val="0.0715408193847022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 assume HOV</a:t>
            </a:r>
          </a:p>
        </c:rich>
      </c:tx>
      <c:layout>
        <c:manualLayout>
          <c:xMode val="edge"/>
          <c:yMode val="edge"/>
          <c:x val="0.289610525716921"/>
          <c:y val="0.0262446550567566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muj</c:v>
          </c:tx>
          <c:spPr>
            <a:solidFill>
              <a:schemeClr val="tx2">
                <a:lumMod val="60000"/>
                <a:lumOff val="40000"/>
              </a:schemeClr>
            </a:solidFill>
          </c:spPr>
          <c:errBars>
            <c:errBarType val="both"/>
            <c:errValType val="fixedVal"/>
            <c:noEndCap val="1"/>
            <c:val val="0.0"/>
          </c:errBars>
          <c:cat>
            <c:strRef>
              <c:f>'Unequal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'Unequal n''s'!$O$3:$O$6</c:f>
              <c:numCache>
                <c:formatCode>#,##0.0</c:formatCode>
                <c:ptCount val="4"/>
                <c:pt idx="0">
                  <c:v>5.0</c:v>
                </c:pt>
                <c:pt idx="1">
                  <c:v>2.0</c:v>
                </c:pt>
                <c:pt idx="2">
                  <c:v>5.8</c:v>
                </c:pt>
                <c:pt idx="3">
                  <c:v>3.0</c:v>
                </c:pt>
              </c:numCache>
            </c:numRef>
          </c:val>
        </c:ser>
        <c:ser>
          <c:idx val="1"/>
          <c:order val="1"/>
          <c:tx>
            <c:v>Mj</c:v>
          </c:tx>
          <c:spPr>
            <a:solidFill>
              <a:srgbClr val="FF0000"/>
            </a:solidFill>
          </c:spPr>
          <c:errBars>
            <c:errBarType val="both"/>
            <c:errValType val="cust"/>
            <c:plus>
              <c:numRef>
                <c:f>'Unequal n''s'!$R$3:$R$6</c:f>
                <c:numCache>
                  <c:formatCode>General</c:formatCode>
                  <c:ptCount val="4"/>
                  <c:pt idx="0">
                    <c:v>0.0</c:v>
                  </c:pt>
                  <c:pt idx="1">
                    <c:v>1.038850633625949</c:v>
                  </c:pt>
                  <c:pt idx="2">
                    <c:v>0.795611576221719</c:v>
                  </c:pt>
                  <c:pt idx="3">
                    <c:v>0.877989033036386</c:v>
                  </c:pt>
                </c:numCache>
              </c:numRef>
            </c:plus>
            <c:minus>
              <c:numRef>
                <c:f>'Unequal n''s'!$R$3:$R$6</c:f>
                <c:numCache>
                  <c:formatCode>General</c:formatCode>
                  <c:ptCount val="4"/>
                  <c:pt idx="0">
                    <c:v>0.0</c:v>
                  </c:pt>
                  <c:pt idx="1">
                    <c:v>1.038850633625949</c:v>
                  </c:pt>
                  <c:pt idx="2">
                    <c:v>0.795611576221719</c:v>
                  </c:pt>
                  <c:pt idx="3">
                    <c:v>0.877989033036386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strRef>
              <c:f>'Unequal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'Unequal n''s'!$P$3:$P$6</c:f>
              <c:numCache>
                <c:formatCode>#,##0.00</c:formatCode>
                <c:ptCount val="4"/>
                <c:pt idx="0">
                  <c:v>5.0</c:v>
                </c:pt>
                <c:pt idx="1">
                  <c:v>2.2</c:v>
                </c:pt>
                <c:pt idx="2">
                  <c:v>5.75</c:v>
                </c:pt>
                <c:pt idx="3">
                  <c:v>3.0</c:v>
                </c:pt>
              </c:numCache>
            </c:numRef>
          </c:val>
        </c:ser>
        <c:axId val="524509528"/>
        <c:axId val="521512824"/>
      </c:barChart>
      <c:catAx>
        <c:axId val="524509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Type of Alcohol</a:t>
                </a:r>
              </a:p>
            </c:rich>
          </c:tx>
        </c:title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521512824"/>
        <c:crosses val="autoZero"/>
        <c:auto val="1"/>
        <c:lblAlgn val="ctr"/>
        <c:lblOffset val="100"/>
      </c:catAx>
      <c:valAx>
        <c:axId val="521512824"/>
        <c:scaling>
          <c:orientation val="minMax"/>
          <c:max val="7.9"/>
          <c:min val="0.0"/>
        </c:scaling>
        <c:axPos val="l"/>
        <c:majorGridlines/>
        <c:title>
          <c:tx>
            <c:rich>
              <a:bodyPr anchor="b" anchorCtr="0"/>
              <a:lstStyle/>
              <a:p>
                <a:pPr>
                  <a:defRPr sz="2400" b="0"/>
                </a:pPr>
                <a:r>
                  <a:rPr lang="en-US" sz="2400" b="0"/>
                  <a:t>Hangover Rating</a:t>
                </a:r>
              </a:p>
            </c:rich>
          </c:tx>
          <c:layout>
            <c:manualLayout>
              <c:xMode val="edge"/>
              <c:yMode val="edge"/>
              <c:x val="0.00567226965821077"/>
              <c:y val="0.236282288751516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2400" b="0" i="0"/>
            </a:pPr>
            <a:endParaRPr lang="en-US"/>
          </a:p>
        </c:txPr>
        <c:crossAx val="524509528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355150919912286"/>
          <c:y val="0.137752256962011"/>
          <c:w val="0.304768492318011"/>
          <c:h val="0.0715408193847022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425374641253955"/>
          <c:y val="0.0274094649211793"/>
        </c:manualLayout>
      </c:layout>
    </c:title>
    <c:plotArea>
      <c:layout>
        <c:manualLayout>
          <c:layoutTarget val="inner"/>
          <c:xMode val="edge"/>
          <c:yMode val="edge"/>
          <c:x val="0.192050399187906"/>
          <c:y val="0.140901242766341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mu's: Immediate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ANOVA'!$O$3:$O$6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M's: Immediate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'Two-way ANOVA'!$C$39</c:f>
                <c:numCache>
                  <c:formatCode>General</c:formatCode>
                  <c:ptCount val="1"/>
                  <c:pt idx="0">
                    <c:v>2.837119837636021</c:v>
                  </c:pt>
                </c:numCache>
              </c:numRef>
            </c:plus>
            <c:minus>
              <c:numRef>
                <c:f>'Two-way ANOVA'!$C$39</c:f>
                <c:numCache>
                  <c:formatCode>General</c:formatCode>
                  <c:ptCount val="1"/>
                  <c:pt idx="0">
                    <c:v>2.837119837636021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ANOVA'!$Q$3:$Q$6</c:f>
              <c:numCache>
                <c:formatCode>#,##0.0</c:formatCode>
                <c:ptCount val="4"/>
                <c:pt idx="0">
                  <c:v>89.0</c:v>
                </c:pt>
                <c:pt idx="1">
                  <c:v>79.8</c:v>
                </c:pt>
                <c:pt idx="2">
                  <c:v>67.2</c:v>
                </c:pt>
                <c:pt idx="3">
                  <c:v>65.6</c:v>
                </c:pt>
              </c:numCache>
            </c:numRef>
          </c:yVal>
        </c:ser>
        <c:ser>
          <c:idx val="2"/>
          <c:order val="2"/>
          <c:tx>
            <c:v>mu's: Delayed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ANOVA'!$P$3:$P$6</c:f>
              <c:numCache>
                <c:formatCode>#,##0</c:formatCode>
                <c:ptCount val="4"/>
                <c:pt idx="0">
                  <c:v>66.0</c:v>
                </c:pt>
                <c:pt idx="1">
                  <c:v>63.0</c:v>
                </c:pt>
                <c:pt idx="2">
                  <c:v>62.0</c:v>
                </c:pt>
                <c:pt idx="3">
                  <c:v>61.0</c:v>
                </c:pt>
              </c:numCache>
            </c:numRef>
          </c:yVal>
        </c:ser>
        <c:ser>
          <c:idx val="3"/>
          <c:order val="3"/>
          <c:tx>
            <c:v>M's: Delayed</c:v>
          </c:tx>
          <c:spPr>
            <a:ln>
              <a:noFill/>
            </a:ln>
          </c:spPr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'Two-way ANOVA'!$C$39</c:f>
                <c:numCache>
                  <c:formatCode>General</c:formatCode>
                  <c:ptCount val="1"/>
                  <c:pt idx="0">
                    <c:v>2.837119837636021</c:v>
                  </c:pt>
                </c:numCache>
              </c:numRef>
            </c:plus>
            <c:minus>
              <c:numRef>
                <c:f>'Two-way ANOVA'!$C$39</c:f>
                <c:numCache>
                  <c:formatCode>General</c:formatCode>
                  <c:ptCount val="1"/>
                  <c:pt idx="0">
                    <c:v>2.837119837636021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ANOVA'!$R$3:$R$6</c:f>
              <c:numCache>
                <c:formatCode>#,##0.0</c:formatCode>
                <c:ptCount val="4"/>
                <c:pt idx="0">
                  <c:v>66.2</c:v>
                </c:pt>
                <c:pt idx="1">
                  <c:v>64.2</c:v>
                </c:pt>
                <c:pt idx="2">
                  <c:v>61.2</c:v>
                </c:pt>
                <c:pt idx="3">
                  <c:v>59.6</c:v>
                </c:pt>
              </c:numCache>
            </c:numRef>
          </c:yVal>
        </c:ser>
        <c:axId val="524422632"/>
        <c:axId val="348850856"/>
      </c:scatterChart>
      <c:valAx>
        <c:axId val="524422632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348850856"/>
        <c:crosses val="autoZero"/>
        <c:crossBetween val="midCat"/>
        <c:majorUnit val="15.0"/>
        <c:minorUnit val="0.03"/>
      </c:valAx>
      <c:valAx>
        <c:axId val="348850856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524422632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mu (diff)</c:v>
          </c:tx>
          <c:spPr>
            <a:solidFill>
              <a:srgbClr val="3366FF"/>
            </a:solidFill>
            <a:ln>
              <a:solidFill>
                <a:schemeClr val="accent1"/>
              </a:solidFill>
            </a:ln>
          </c:spPr>
          <c:cat>
            <c:numRef>
              <c:f>'WSD-Incentive'!$G$2</c:f>
              <c:numCache>
                <c:formatCode>#,##0.00</c:formatCode>
                <c:ptCount val="1"/>
              </c:numCache>
            </c:numRef>
          </c:cat>
          <c:val>
            <c:numRef>
              <c:f>'WSD-Incentive'!$H$2</c:f>
              <c:numCache>
                <c:formatCode>#,##0.00</c:formatCode>
                <c:ptCount val="1"/>
                <c:pt idx="0">
                  <c:v>3.0</c:v>
                </c:pt>
              </c:numCache>
            </c:numRef>
          </c:val>
        </c:ser>
        <c:ser>
          <c:idx val="2"/>
          <c:order val="1"/>
          <c:tx>
            <c:v>M (diff)</c:v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</c:spPr>
          <c:errBars>
            <c:errBarType val="both"/>
            <c:errValType val="cust"/>
            <c:plus>
              <c:numRef>
                <c:f>'WSD-Incentive'!$K$2</c:f>
                <c:numCache>
                  <c:formatCode>General</c:formatCode>
                  <c:ptCount val="1"/>
                  <c:pt idx="0">
                    <c:v>1.055673340481005</c:v>
                  </c:pt>
                </c:numCache>
              </c:numRef>
            </c:plus>
            <c:minus>
              <c:numRef>
                <c:f>'WSD-Incentive'!$K$2</c:f>
                <c:numCache>
                  <c:formatCode>General</c:formatCode>
                  <c:ptCount val="1"/>
                  <c:pt idx="0">
                    <c:v>1.055673340481005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numRef>
              <c:f>'WSD-Incentive'!$G$2</c:f>
              <c:numCache>
                <c:formatCode>#,##0.00</c:formatCode>
                <c:ptCount val="1"/>
              </c:numCache>
            </c:numRef>
          </c:cat>
          <c:val>
            <c:numRef>
              <c:f>'WSD-Incentive'!$I$2</c:f>
              <c:numCache>
                <c:formatCode>#,##0.00</c:formatCode>
                <c:ptCount val="1"/>
                <c:pt idx="0">
                  <c:v>3.2</c:v>
                </c:pt>
              </c:numCache>
            </c:numRef>
          </c:val>
        </c:ser>
        <c:axId val="335728168"/>
        <c:axId val="335733960"/>
      </c:barChart>
      <c:catAx>
        <c:axId val="335728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  Mu (diff)     M(diff)</a:t>
                </a:r>
              </a:p>
            </c:rich>
          </c:tx>
          <c:layout>
            <c:manualLayout>
              <c:xMode val="edge"/>
              <c:yMode val="edge"/>
              <c:x val="0.323489742353634"/>
              <c:y val="0.902059496567506"/>
            </c:manualLayout>
          </c:layout>
        </c:title>
        <c:numFmt formatCode="#,##0.00" sourceLinked="1"/>
        <c:tickLblPos val="nextTo"/>
        <c:crossAx val="335733960"/>
        <c:crosses val="autoZero"/>
        <c:auto val="1"/>
        <c:lblAlgn val="ctr"/>
        <c:lblOffset val="100"/>
      </c:catAx>
      <c:valAx>
        <c:axId val="335733960"/>
        <c:scaling>
          <c:orientation val="minMax"/>
          <c:max val="6.0"/>
          <c:min val="-1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Difference</a:t>
                </a:r>
              </a:p>
            </c:rich>
          </c:tx>
          <c:layout/>
        </c:title>
        <c:numFmt formatCode="#,##0" sourceLinked="0"/>
        <c:tickLblPos val="nextTo"/>
        <c:crossAx val="335728168"/>
        <c:crosses val="autoZero"/>
        <c:crossBetween val="between"/>
        <c:majorUnit val="1.0"/>
      </c:valAx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65271019518488"/>
          <c:y val="0.0204527559055118"/>
        </c:manualLayout>
      </c:layout>
    </c:title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'BSD-Incentive'!$I$2:$I$3</c:f>
              <c:numCache>
                <c:formatCode>#,##0.00</c:formatCode>
                <c:ptCount val="2"/>
                <c:pt idx="0">
                  <c:v>10.0</c:v>
                </c:pt>
                <c:pt idx="1">
                  <c:v>13.0</c:v>
                </c:pt>
              </c:numCache>
            </c:numRef>
          </c:yVal>
        </c:ser>
        <c:ser>
          <c:idx val="1"/>
          <c:order val="1"/>
          <c:tx>
            <c:v>Means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'BSD-Incentive'!$K$2:$K$3</c:f>
                <c:numCache>
                  <c:formatCode>General</c:formatCode>
                  <c:ptCount val="2"/>
                  <c:pt idx="0">
                    <c:v>5.352862781052908</c:v>
                  </c:pt>
                  <c:pt idx="1">
                    <c:v>5.352862781052908</c:v>
                  </c:pt>
                </c:numCache>
              </c:numRef>
            </c:plus>
            <c:minus>
              <c:numRef>
                <c:f>'BSD-Incentive'!$K$2:$K$3</c:f>
                <c:numCache>
                  <c:formatCode>General</c:formatCode>
                  <c:ptCount val="2"/>
                  <c:pt idx="0">
                    <c:v>5.352862781052908</c:v>
                  </c:pt>
                  <c:pt idx="1">
                    <c:v>5.352862781052908</c:v>
                  </c:pt>
                </c:numCache>
              </c:numRef>
            </c:minus>
            <c:spPr>
              <a:ln w="19050" cmpd="sng">
                <a:solidFill>
                  <a:schemeClr val="accent2"/>
                </a:solidFill>
              </a:ln>
            </c:spPr>
          </c:errBars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'BSD-Incentive'!$J$2:$J$3</c:f>
              <c:numCache>
                <c:formatCode>#,##0.00</c:formatCode>
                <c:ptCount val="2"/>
                <c:pt idx="0">
                  <c:v>9.625</c:v>
                </c:pt>
                <c:pt idx="1">
                  <c:v>13.875</c:v>
                </c:pt>
              </c:numCache>
            </c:numRef>
          </c:yVal>
        </c:ser>
        <c:axId val="335819000"/>
        <c:axId val="335825208"/>
      </c:scatterChart>
      <c:valAx>
        <c:axId val="335819000"/>
        <c:scaling>
          <c:orientation val="minMax"/>
          <c:max val="11.0"/>
          <c:min val="0.0"/>
        </c:scaling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Incentive (dollars per word)</a:t>
                </a:r>
              </a:p>
            </c:rich>
          </c:tx>
          <c:layout>
            <c:manualLayout>
              <c:xMode val="edge"/>
              <c:yMode val="edge"/>
              <c:x val="0.193581556982448"/>
              <c:y val="0.928539325842697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335825208"/>
        <c:crosses val="autoZero"/>
        <c:crossBetween val="midCat"/>
        <c:majorUnit val="5.0"/>
        <c:minorUnit val="0.03"/>
      </c:valAx>
      <c:valAx>
        <c:axId val="335825208"/>
        <c:scaling>
          <c:orientation val="minMax"/>
          <c:max val="24.0"/>
          <c:min val="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Proportion words recalled</a:t>
                </a:r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</c:title>
        <c:numFmt formatCode="#,##0" sourceLinked="0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335819000"/>
        <c:crossesAt val="-5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1346475976119"/>
          <c:y val="0.162264354596125"/>
          <c:w val="0.345918884110296"/>
          <c:h val="0.135627343986065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266192595490781"/>
          <c:y val="0.0130514720142741"/>
        </c:manualLayout>
      </c:layout>
    </c:title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'BSD-Incentive'!$I$2:$I$3</c:f>
              <c:numCache>
                <c:formatCode>#,##0.00</c:formatCode>
                <c:ptCount val="2"/>
                <c:pt idx="0">
                  <c:v>10.0</c:v>
                </c:pt>
                <c:pt idx="1">
                  <c:v>13.0</c:v>
                </c:pt>
              </c:numCache>
            </c:numRef>
          </c:yVal>
        </c:ser>
        <c:ser>
          <c:idx val="1"/>
          <c:order val="1"/>
          <c:tx>
            <c:v>Means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'BSD-Incentive'!$L$2:$L$3</c:f>
                <c:numCache>
                  <c:formatCode>General</c:formatCode>
                  <c:ptCount val="2"/>
                  <c:pt idx="0">
                    <c:v>5.544410000586314</c:v>
                  </c:pt>
                  <c:pt idx="1">
                    <c:v>4.411092752963047</c:v>
                  </c:pt>
                </c:numCache>
              </c:numRef>
            </c:plus>
            <c:minus>
              <c:numRef>
                <c:f>'BSD-Incentive'!$L$2:$L$3</c:f>
                <c:numCache>
                  <c:formatCode>General</c:formatCode>
                  <c:ptCount val="2"/>
                  <c:pt idx="0">
                    <c:v>5.544410000586314</c:v>
                  </c:pt>
                  <c:pt idx="1">
                    <c:v>4.411092752963047</c:v>
                  </c:pt>
                </c:numCache>
              </c:numRef>
            </c:minus>
            <c:spPr>
              <a:ln w="19050" cmpd="sng">
                <a:solidFill>
                  <a:schemeClr val="accent2"/>
                </a:solidFill>
              </a:ln>
            </c:spPr>
          </c:errBars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'BSD-Incentive'!$J$2:$J$3</c:f>
              <c:numCache>
                <c:formatCode>#,##0.00</c:formatCode>
                <c:ptCount val="2"/>
                <c:pt idx="0">
                  <c:v>9.625</c:v>
                </c:pt>
                <c:pt idx="1">
                  <c:v>13.875</c:v>
                </c:pt>
              </c:numCache>
            </c:numRef>
          </c:yVal>
        </c:ser>
        <c:axId val="335869064"/>
        <c:axId val="335875272"/>
      </c:scatterChart>
      <c:valAx>
        <c:axId val="335869064"/>
        <c:scaling>
          <c:orientation val="minMax"/>
          <c:max val="11.0"/>
          <c:min val="0.0"/>
        </c:scaling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Incentive (dollars per word)</a:t>
                </a:r>
              </a:p>
            </c:rich>
          </c:tx>
          <c:layout>
            <c:manualLayout>
              <c:xMode val="edge"/>
              <c:yMode val="edge"/>
              <c:x val="0.193581556982448"/>
              <c:y val="0.928539325842697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335875272"/>
        <c:crosses val="autoZero"/>
        <c:crossBetween val="midCat"/>
        <c:majorUnit val="5.0"/>
        <c:minorUnit val="0.03"/>
      </c:valAx>
      <c:valAx>
        <c:axId val="335875272"/>
        <c:scaling>
          <c:orientation val="minMax"/>
          <c:max val="24.0"/>
          <c:min val="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Proportion words recalled</a:t>
                </a:r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</c:title>
        <c:numFmt formatCode="#,##0" sourceLinked="0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335869064"/>
        <c:crossesAt val="-5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1346475976119"/>
          <c:y val="0.162264354596125"/>
          <c:w val="0.345918884110296"/>
          <c:h val="0.135627343986065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Assume HOV</a:t>
            </a:r>
          </a:p>
        </c:rich>
      </c:tx>
    </c:title>
    <c:plotArea>
      <c:layout>
        <c:manualLayout>
          <c:layoutTarget val="inner"/>
          <c:xMode val="edge"/>
          <c:yMode val="edge"/>
          <c:x val="0.205284362664216"/>
          <c:y val="0.103832648909317"/>
          <c:w val="0.7416652394578"/>
          <c:h val="0.73142071355913"/>
        </c:manualLayout>
      </c:layout>
      <c:barChart>
        <c:barDir val="col"/>
        <c:grouping val="clustered"/>
        <c:ser>
          <c:idx val="0"/>
          <c:order val="0"/>
          <c:tx>
            <c:v>muj's</c:v>
          </c:tx>
          <c:spPr>
            <a:solidFill>
              <a:srgbClr val="3366FF"/>
            </a:solidFill>
            <a:ln>
              <a:solidFill>
                <a:schemeClr val="tx1"/>
              </a:solidFill>
            </a:ln>
          </c:spPr>
          <c:cat>
            <c:strRef>
              <c:f>'BSD-unequal n''s'!$H$2:$H$3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n''s'!$I$2:$I$3</c:f>
              <c:numCache>
                <c:formatCode>#,##0.00</c:formatCode>
                <c:ptCount val="2"/>
                <c:pt idx="0">
                  <c:v>9.0</c:v>
                </c:pt>
                <c:pt idx="1">
                  <c:v>12.0</c:v>
                </c:pt>
              </c:numCache>
            </c:numRef>
          </c:val>
        </c:ser>
        <c:ser>
          <c:idx val="1"/>
          <c:order val="1"/>
          <c:tx>
            <c:v>Mj's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errBars>
            <c:errBarType val="both"/>
            <c:errValType val="cust"/>
            <c:plus>
              <c:numRef>
                <c:f>'BSD-unequal n''s'!$K$2:$K$3</c:f>
                <c:numCache>
                  <c:formatCode>General</c:formatCode>
                  <c:ptCount val="2"/>
                  <c:pt idx="0">
                    <c:v>2.735998905389562</c:v>
                  </c:pt>
                  <c:pt idx="1">
                    <c:v>3.869286758639862</c:v>
                  </c:pt>
                </c:numCache>
              </c:numRef>
            </c:plus>
            <c:minus>
              <c:numRef>
                <c:f>'BSD-unequal n''s'!$K$2:$K$3</c:f>
                <c:numCache>
                  <c:formatCode>General</c:formatCode>
                  <c:ptCount val="2"/>
                  <c:pt idx="0">
                    <c:v>2.735998905389562</c:v>
                  </c:pt>
                  <c:pt idx="1">
                    <c:v>3.869286758639862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strRef>
              <c:f>'BSD-unequal n''s'!$H$2:$H$3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n''s'!$J$2:$J$3</c:f>
              <c:numCache>
                <c:formatCode>#,##0.00</c:formatCode>
                <c:ptCount val="2"/>
                <c:pt idx="0">
                  <c:v>7.625</c:v>
                </c:pt>
                <c:pt idx="1">
                  <c:v>13.75</c:v>
                </c:pt>
              </c:numCache>
            </c:numRef>
          </c:val>
        </c:ser>
        <c:axId val="468123384"/>
        <c:axId val="468178856"/>
      </c:barChart>
      <c:catAx>
        <c:axId val="468123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Condition</a:t>
                </a:r>
              </a:p>
            </c:rich>
          </c:tx>
        </c:title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68178856"/>
        <c:crosses val="autoZero"/>
        <c:auto val="1"/>
        <c:lblAlgn val="ctr"/>
        <c:lblOffset val="100"/>
      </c:catAx>
      <c:valAx>
        <c:axId val="468178856"/>
        <c:scaling>
          <c:orientation val="minMax"/>
          <c:max val="20.0"/>
        </c:scaling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Mean</a:t>
                </a:r>
                <a:r>
                  <a:rPr lang="en-US" sz="2000" baseline="0"/>
                  <a:t> n</a:t>
                </a:r>
                <a:r>
                  <a:rPr lang="en-US" sz="2000"/>
                  <a:t>umber of words recalled</a:t>
                </a:r>
              </a:p>
            </c:rich>
          </c:tx>
          <c:layout>
            <c:manualLayout>
              <c:xMode val="edge"/>
              <c:yMode val="edge"/>
              <c:x val="0.0115745563152568"/>
              <c:y val="0.186641995962976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68123384"/>
        <c:crosses val="autoZero"/>
        <c:crossBetween val="between"/>
        <c:majorUnit val="5.0"/>
      </c:valAx>
    </c:plotArea>
    <c:legend>
      <c:legendPos val="t"/>
      <c:layout>
        <c:manualLayout>
          <c:xMode val="edge"/>
          <c:yMode val="edge"/>
          <c:x val="0.320747300486643"/>
          <c:y val="0.112081339712919"/>
          <c:w val="0.544827586206897"/>
          <c:h val="0.081023257509478"/>
        </c:manualLayout>
      </c:layout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Don't assume HOV</a:t>
            </a:r>
          </a:p>
        </c:rich>
      </c:tx>
    </c:title>
    <c:plotArea>
      <c:layout>
        <c:manualLayout>
          <c:layoutTarget val="inner"/>
          <c:xMode val="edge"/>
          <c:yMode val="edge"/>
          <c:x val="0.205284362664216"/>
          <c:y val="0.103832648909317"/>
          <c:w val="0.7416652394578"/>
          <c:h val="0.73142071355913"/>
        </c:manualLayout>
      </c:layout>
      <c:barChart>
        <c:barDir val="col"/>
        <c:grouping val="clustered"/>
        <c:ser>
          <c:idx val="0"/>
          <c:order val="0"/>
          <c:tx>
            <c:v>muj's</c:v>
          </c:tx>
          <c:spPr>
            <a:solidFill>
              <a:srgbClr val="3366FF"/>
            </a:solidFill>
            <a:ln>
              <a:solidFill>
                <a:schemeClr val="tx1"/>
              </a:solidFill>
            </a:ln>
          </c:spPr>
          <c:cat>
            <c:strRef>
              <c:f>'BSD-unequal n''s'!$H$2:$H$3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n''s'!$I$2:$I$3</c:f>
              <c:numCache>
                <c:formatCode>#,##0.00</c:formatCode>
                <c:ptCount val="2"/>
                <c:pt idx="0">
                  <c:v>9.0</c:v>
                </c:pt>
                <c:pt idx="1">
                  <c:v>12.0</c:v>
                </c:pt>
              </c:numCache>
            </c:numRef>
          </c:val>
        </c:ser>
        <c:ser>
          <c:idx val="1"/>
          <c:order val="1"/>
          <c:tx>
            <c:v>Mj's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errBars>
            <c:errBarType val="both"/>
            <c:errValType val="cust"/>
            <c:plus>
              <c:numRef>
                <c:f>'BSD-unequal n''s'!$L$2:$L$3</c:f>
                <c:numCache>
                  <c:formatCode>General</c:formatCode>
                  <c:ptCount val="2"/>
                  <c:pt idx="0">
                    <c:v>3.02877353493397</c:v>
                  </c:pt>
                  <c:pt idx="1">
                    <c:v>4.925943047616061</c:v>
                  </c:pt>
                </c:numCache>
              </c:numRef>
            </c:plus>
            <c:minus>
              <c:numRef>
                <c:f>'BSD-unequal n''s'!$L$2:$L$3</c:f>
                <c:numCache>
                  <c:formatCode>General</c:formatCode>
                  <c:ptCount val="2"/>
                  <c:pt idx="0">
                    <c:v>3.02877353493397</c:v>
                  </c:pt>
                  <c:pt idx="1">
                    <c:v>4.925943047616061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strRef>
              <c:f>'BSD-unequal n''s'!$H$2:$H$3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n''s'!$J$2:$J$3</c:f>
              <c:numCache>
                <c:formatCode>#,##0.00</c:formatCode>
                <c:ptCount val="2"/>
                <c:pt idx="0">
                  <c:v>7.625</c:v>
                </c:pt>
                <c:pt idx="1">
                  <c:v>13.75</c:v>
                </c:pt>
              </c:numCache>
            </c:numRef>
          </c:val>
        </c:ser>
        <c:axId val="468419240"/>
        <c:axId val="477049304"/>
      </c:barChart>
      <c:catAx>
        <c:axId val="468419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Condition</a:t>
                </a:r>
              </a:p>
            </c:rich>
          </c:tx>
        </c:title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477049304"/>
        <c:crosses val="autoZero"/>
        <c:auto val="1"/>
        <c:lblAlgn val="ctr"/>
        <c:lblOffset val="100"/>
      </c:catAx>
      <c:valAx>
        <c:axId val="477049304"/>
        <c:scaling>
          <c:orientation val="minMax"/>
          <c:max val="20.0"/>
        </c:scaling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Mean</a:t>
                </a:r>
                <a:r>
                  <a:rPr lang="en-US" sz="2000" baseline="0"/>
                  <a:t> n</a:t>
                </a:r>
                <a:r>
                  <a:rPr lang="en-US" sz="2000"/>
                  <a:t>umber of words recalled</a:t>
                </a:r>
              </a:p>
            </c:rich>
          </c:tx>
          <c:layout>
            <c:manualLayout>
              <c:xMode val="edge"/>
              <c:yMode val="edge"/>
              <c:x val="0.00218976132656315"/>
              <c:y val="0.194263321735946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68419240"/>
        <c:crosses val="autoZero"/>
        <c:crossBetween val="between"/>
        <c:majorUnit val="5.0"/>
      </c:valAx>
    </c:plotArea>
    <c:legend>
      <c:legendPos val="t"/>
      <c:layout>
        <c:manualLayout>
          <c:xMode val="edge"/>
          <c:yMode val="edge"/>
          <c:x val="0.320747300486643"/>
          <c:y val="0.112081339712919"/>
          <c:w val="0.544827586206897"/>
          <c:h val="0.081023257509478"/>
        </c:manualLayout>
      </c:layout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</c:title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ANOVA'!$Q$3:$Q$6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'Basic ANOVA'!$S$3:$S$6</c:f>
                <c:numCache>
                  <c:formatCode>General</c:formatCode>
                  <c:ptCount val="4"/>
                  <c:pt idx="0">
                    <c:v>3.871367293893856</c:v>
                  </c:pt>
                  <c:pt idx="1">
                    <c:v>3.871367293893856</c:v>
                  </c:pt>
                  <c:pt idx="2">
                    <c:v>3.871367293893856</c:v>
                  </c:pt>
                  <c:pt idx="3">
                    <c:v>3.871367293893856</c:v>
                  </c:pt>
                </c:numCache>
              </c:numRef>
            </c:plus>
            <c:minus>
              <c:numRef>
                <c:f>'Basic ANOVA'!$S$3:$S$6</c:f>
                <c:numCache>
                  <c:formatCode>General</c:formatCode>
                  <c:ptCount val="4"/>
                  <c:pt idx="0">
                    <c:v>3.871367293893856</c:v>
                  </c:pt>
                  <c:pt idx="1">
                    <c:v>3.871367293893856</c:v>
                  </c:pt>
                  <c:pt idx="2">
                    <c:v>3.871367293893856</c:v>
                  </c:pt>
                  <c:pt idx="3">
                    <c:v>3.871367293893856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ANOVA'!$R$3:$R$6</c:f>
              <c:numCache>
                <c:formatCode>#,##0.0</c:formatCode>
                <c:ptCount val="4"/>
                <c:pt idx="0">
                  <c:v>91.8</c:v>
                </c:pt>
                <c:pt idx="1">
                  <c:v>80.0</c:v>
                </c:pt>
                <c:pt idx="2">
                  <c:v>69.4</c:v>
                </c:pt>
                <c:pt idx="3">
                  <c:v>62.8</c:v>
                </c:pt>
              </c:numCache>
            </c:numRef>
          </c:yVal>
        </c:ser>
        <c:axId val="468650808"/>
        <c:axId val="467758632"/>
      </c:scatterChart>
      <c:valAx>
        <c:axId val="468650808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67758632"/>
        <c:crosses val="autoZero"/>
        <c:crossBetween val="midCat"/>
        <c:majorUnit val="15.0"/>
        <c:minorUnit val="0.03"/>
      </c:valAx>
      <c:valAx>
        <c:axId val="467758632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68650808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</c:title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ANOVA'!$Q$3:$Q$6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'Basic ANOVA'!$T$3:$T$6</c:f>
                <c:numCache>
                  <c:formatCode>General</c:formatCode>
                  <c:ptCount val="4"/>
                  <c:pt idx="0">
                    <c:v>5.98064578744919</c:v>
                  </c:pt>
                  <c:pt idx="1">
                    <c:v>5.412287889702692</c:v>
                  </c:pt>
                  <c:pt idx="2">
                    <c:v>5.928864329804417</c:v>
                  </c:pt>
                  <c:pt idx="3">
                    <c:v>1.618931784618825</c:v>
                  </c:pt>
                </c:numCache>
              </c:numRef>
            </c:plus>
            <c:minus>
              <c:numRef>
                <c:f>'Basic ANOVA'!$T$3:$T$6</c:f>
                <c:numCache>
                  <c:formatCode>General</c:formatCode>
                  <c:ptCount val="4"/>
                  <c:pt idx="0">
                    <c:v>5.98064578744919</c:v>
                  </c:pt>
                  <c:pt idx="1">
                    <c:v>5.412287889702692</c:v>
                  </c:pt>
                  <c:pt idx="2">
                    <c:v>5.928864329804417</c:v>
                  </c:pt>
                  <c:pt idx="3">
                    <c:v>1.618931784618825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ANOVA'!$R$3:$R$6</c:f>
              <c:numCache>
                <c:formatCode>#,##0.0</c:formatCode>
                <c:ptCount val="4"/>
                <c:pt idx="0">
                  <c:v>91.8</c:v>
                </c:pt>
                <c:pt idx="1">
                  <c:v>80.0</c:v>
                </c:pt>
                <c:pt idx="2">
                  <c:v>69.4</c:v>
                </c:pt>
                <c:pt idx="3">
                  <c:v>62.8</c:v>
                </c:pt>
              </c:numCache>
            </c:numRef>
          </c:yVal>
        </c:ser>
        <c:axId val="468556088"/>
        <c:axId val="468597432"/>
      </c:scatterChart>
      <c:valAx>
        <c:axId val="468556088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68597432"/>
        <c:crosses val="autoZero"/>
        <c:crossBetween val="midCat"/>
        <c:majorUnit val="15.0"/>
        <c:minorUnit val="0.03"/>
      </c:valAx>
      <c:valAx>
        <c:axId val="468597432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68556088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Cond 4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False'!$S$7:$S$55</c:f>
              <c:numCache>
                <c:formatCode>#,##0.00</c:formatCode>
                <c:ptCount val="49"/>
                <c:pt idx="0">
                  <c:v>54.63343685400051</c:v>
                </c:pt>
                <c:pt idx="1">
                  <c:v>54.85248024771477</c:v>
                </c:pt>
                <c:pt idx="2">
                  <c:v>55.07152364142904</c:v>
                </c:pt>
                <c:pt idx="3">
                  <c:v>55.2905670351433</c:v>
                </c:pt>
                <c:pt idx="4">
                  <c:v>55.50961042885757</c:v>
                </c:pt>
                <c:pt idx="5">
                  <c:v>55.72865382257183</c:v>
                </c:pt>
                <c:pt idx="6">
                  <c:v>55.9476972162861</c:v>
                </c:pt>
                <c:pt idx="7">
                  <c:v>56.16674061000037</c:v>
                </c:pt>
                <c:pt idx="8">
                  <c:v>56.38578400371463</c:v>
                </c:pt>
                <c:pt idx="9">
                  <c:v>56.6048273974289</c:v>
                </c:pt>
                <c:pt idx="10">
                  <c:v>56.82387079114316</c:v>
                </c:pt>
                <c:pt idx="11">
                  <c:v>57.04291418485743</c:v>
                </c:pt>
                <c:pt idx="12">
                  <c:v>57.2619575785717</c:v>
                </c:pt>
                <c:pt idx="13">
                  <c:v>57.48100097228596</c:v>
                </c:pt>
                <c:pt idx="14">
                  <c:v>57.70004436600023</c:v>
                </c:pt>
                <c:pt idx="15">
                  <c:v>57.91908775971449</c:v>
                </c:pt>
                <c:pt idx="16">
                  <c:v>58.13813115342875</c:v>
                </c:pt>
                <c:pt idx="17">
                  <c:v>58.35717454714302</c:v>
                </c:pt>
                <c:pt idx="18">
                  <c:v>58.5762179408573</c:v>
                </c:pt>
                <c:pt idx="19">
                  <c:v>58.79526133457155</c:v>
                </c:pt>
                <c:pt idx="20">
                  <c:v>59.01430472828582</c:v>
                </c:pt>
                <c:pt idx="21">
                  <c:v>59.23334812200008</c:v>
                </c:pt>
                <c:pt idx="22">
                  <c:v>59.45239151571435</c:v>
                </c:pt>
                <c:pt idx="23">
                  <c:v>59.67143490942862</c:v>
                </c:pt>
                <c:pt idx="24">
                  <c:v>59.89047830314288</c:v>
                </c:pt>
                <c:pt idx="25">
                  <c:v>60.10952169685715</c:v>
                </c:pt>
                <c:pt idx="26">
                  <c:v>60.32856509057141</c:v>
                </c:pt>
                <c:pt idx="27">
                  <c:v>60.54760848428568</c:v>
                </c:pt>
                <c:pt idx="28">
                  <c:v>60.76665187799994</c:v>
                </c:pt>
                <c:pt idx="29">
                  <c:v>60.98569527171421</c:v>
                </c:pt>
                <c:pt idx="30">
                  <c:v>61.20473866542848</c:v>
                </c:pt>
                <c:pt idx="31">
                  <c:v>61.42378205914274</c:v>
                </c:pt>
                <c:pt idx="32">
                  <c:v>61.64282545285701</c:v>
                </c:pt>
                <c:pt idx="33">
                  <c:v>61.86186884657127</c:v>
                </c:pt>
                <c:pt idx="34">
                  <c:v>62.08091224028554</c:v>
                </c:pt>
                <c:pt idx="35">
                  <c:v>62.2999556339998</c:v>
                </c:pt>
                <c:pt idx="36">
                  <c:v>62.51899902771407</c:v>
                </c:pt>
                <c:pt idx="37">
                  <c:v>62.73804242142834</c:v>
                </c:pt>
                <c:pt idx="38">
                  <c:v>62.95708581514261</c:v>
                </c:pt>
                <c:pt idx="39">
                  <c:v>63.17612920885687</c:v>
                </c:pt>
                <c:pt idx="40">
                  <c:v>63.39517260257113</c:v>
                </c:pt>
                <c:pt idx="41">
                  <c:v>63.6142159962854</c:v>
                </c:pt>
                <c:pt idx="42">
                  <c:v>63.83325938999967</c:v>
                </c:pt>
                <c:pt idx="43">
                  <c:v>64.05230278371393</c:v>
                </c:pt>
                <c:pt idx="44">
                  <c:v>64.27134617742819</c:v>
                </c:pt>
                <c:pt idx="45">
                  <c:v>64.49038957114244</c:v>
                </c:pt>
                <c:pt idx="46">
                  <c:v>64.7094329648567</c:v>
                </c:pt>
                <c:pt idx="47">
                  <c:v>64.92847635857096</c:v>
                </c:pt>
                <c:pt idx="48">
                  <c:v>65.14751975228521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ser>
          <c:idx val="1"/>
          <c:order val="1"/>
          <c:tx>
            <c:v>Cond 3</c:v>
          </c:tx>
          <c:spPr>
            <a:ln w="2857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xVal>
            <c:numRef>
              <c:f>'ANOVA H0 True, False'!$T$7:$T$55</c:f>
              <c:numCache>
                <c:formatCode>#,##0.00</c:formatCode>
                <c:ptCount val="49"/>
                <c:pt idx="0">
                  <c:v>64.63343685400051</c:v>
                </c:pt>
                <c:pt idx="1">
                  <c:v>64.85248024771477</c:v>
                </c:pt>
                <c:pt idx="2">
                  <c:v>65.07152364142902</c:v>
                </c:pt>
                <c:pt idx="3">
                  <c:v>65.29056703514328</c:v>
                </c:pt>
                <c:pt idx="4">
                  <c:v>65.50961042885754</c:v>
                </c:pt>
                <c:pt idx="5">
                  <c:v>65.7286538225718</c:v>
                </c:pt>
                <c:pt idx="6">
                  <c:v>65.94769721628605</c:v>
                </c:pt>
                <c:pt idx="7">
                  <c:v>66.16674061000032</c:v>
                </c:pt>
                <c:pt idx="8">
                  <c:v>66.38578400371458</c:v>
                </c:pt>
                <c:pt idx="9">
                  <c:v>66.60482739742883</c:v>
                </c:pt>
                <c:pt idx="10">
                  <c:v>66.82387079114309</c:v>
                </c:pt>
                <c:pt idx="11">
                  <c:v>67.04291418485735</c:v>
                </c:pt>
                <c:pt idx="12">
                  <c:v>67.26195757857161</c:v>
                </c:pt>
                <c:pt idx="13">
                  <c:v>67.48100097228587</c:v>
                </c:pt>
                <c:pt idx="14">
                  <c:v>67.70004436600013</c:v>
                </c:pt>
                <c:pt idx="15">
                  <c:v>67.91908775971438</c:v>
                </c:pt>
                <c:pt idx="16">
                  <c:v>68.13813115342865</c:v>
                </c:pt>
                <c:pt idx="17">
                  <c:v>68.3571745471429</c:v>
                </c:pt>
                <c:pt idx="18">
                  <c:v>68.57621794085716</c:v>
                </c:pt>
                <c:pt idx="19">
                  <c:v>68.79526133457142</c:v>
                </c:pt>
                <c:pt idx="20">
                  <c:v>69.01430472828567</c:v>
                </c:pt>
                <c:pt idx="21">
                  <c:v>69.23334812199994</c:v>
                </c:pt>
                <c:pt idx="22">
                  <c:v>69.4523915157142</c:v>
                </c:pt>
                <c:pt idx="23">
                  <c:v>69.67143490942846</c:v>
                </c:pt>
                <c:pt idx="24">
                  <c:v>69.89047830314271</c:v>
                </c:pt>
                <c:pt idx="25">
                  <c:v>70.10952169685697</c:v>
                </c:pt>
                <c:pt idx="26">
                  <c:v>70.32856509057123</c:v>
                </c:pt>
                <c:pt idx="27">
                  <c:v>70.5476084842855</c:v>
                </c:pt>
                <c:pt idx="28">
                  <c:v>70.76665187799975</c:v>
                </c:pt>
                <c:pt idx="29">
                  <c:v>70.985695271714</c:v>
                </c:pt>
                <c:pt idx="30">
                  <c:v>71.20473866542827</c:v>
                </c:pt>
                <c:pt idx="31">
                  <c:v>71.42378205914252</c:v>
                </c:pt>
                <c:pt idx="32">
                  <c:v>71.64282545285678</c:v>
                </c:pt>
                <c:pt idx="33">
                  <c:v>71.86186884657104</c:v>
                </c:pt>
                <c:pt idx="34">
                  <c:v>72.0809122402853</c:v>
                </c:pt>
                <c:pt idx="35">
                  <c:v>72.29995563399955</c:v>
                </c:pt>
                <c:pt idx="36">
                  <c:v>72.51899902771381</c:v>
                </c:pt>
                <c:pt idx="37">
                  <c:v>72.73804242142808</c:v>
                </c:pt>
                <c:pt idx="38">
                  <c:v>72.95708581514233</c:v>
                </c:pt>
                <c:pt idx="39">
                  <c:v>73.17612920885659</c:v>
                </c:pt>
                <c:pt idx="40">
                  <c:v>73.39517260257085</c:v>
                </c:pt>
                <c:pt idx="41">
                  <c:v>73.6142159962851</c:v>
                </c:pt>
                <c:pt idx="42">
                  <c:v>73.83325938999936</c:v>
                </c:pt>
                <c:pt idx="43">
                  <c:v>74.05230278371363</c:v>
                </c:pt>
                <c:pt idx="44">
                  <c:v>74.27134617742789</c:v>
                </c:pt>
                <c:pt idx="45">
                  <c:v>74.49038957114214</c:v>
                </c:pt>
                <c:pt idx="46">
                  <c:v>74.7094329648564</c:v>
                </c:pt>
                <c:pt idx="47">
                  <c:v>74.92847635857066</c:v>
                </c:pt>
                <c:pt idx="48">
                  <c:v>75.14751975228492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ser>
          <c:idx val="2"/>
          <c:order val="2"/>
          <c:tx>
            <c:v>Cond 2</c:v>
          </c:tx>
          <c:spPr>
            <a:ln w="28575"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'ANOVA H0 True, False'!$U$7:$U$55</c:f>
              <c:numCache>
                <c:formatCode>#,##0.00</c:formatCode>
                <c:ptCount val="49"/>
                <c:pt idx="0">
                  <c:v>74.63343685400051</c:v>
                </c:pt>
                <c:pt idx="1">
                  <c:v>74.85248024771477</c:v>
                </c:pt>
                <c:pt idx="2">
                  <c:v>75.07152364142902</c:v>
                </c:pt>
                <c:pt idx="3">
                  <c:v>75.29056703514328</c:v>
                </c:pt>
                <c:pt idx="4">
                  <c:v>75.50961042885754</c:v>
                </c:pt>
                <c:pt idx="5">
                  <c:v>75.7286538225718</c:v>
                </c:pt>
                <c:pt idx="6">
                  <c:v>75.94769721628605</c:v>
                </c:pt>
                <c:pt idx="7">
                  <c:v>76.16674061000032</c:v>
                </c:pt>
                <c:pt idx="8">
                  <c:v>76.38578400371458</c:v>
                </c:pt>
                <c:pt idx="9">
                  <c:v>76.60482739742883</c:v>
                </c:pt>
                <c:pt idx="10">
                  <c:v>76.82387079114309</c:v>
                </c:pt>
                <c:pt idx="11">
                  <c:v>77.04291418485735</c:v>
                </c:pt>
                <c:pt idx="12">
                  <c:v>77.26195757857161</c:v>
                </c:pt>
                <c:pt idx="13">
                  <c:v>77.48100097228587</c:v>
                </c:pt>
                <c:pt idx="14">
                  <c:v>77.70004436600013</c:v>
                </c:pt>
                <c:pt idx="15">
                  <c:v>77.91908775971438</c:v>
                </c:pt>
                <c:pt idx="16">
                  <c:v>78.13813115342865</c:v>
                </c:pt>
                <c:pt idx="17">
                  <c:v>78.3571745471429</c:v>
                </c:pt>
                <c:pt idx="18">
                  <c:v>78.57621794085716</c:v>
                </c:pt>
                <c:pt idx="19">
                  <c:v>78.79526133457142</c:v>
                </c:pt>
                <c:pt idx="20">
                  <c:v>79.01430472828567</c:v>
                </c:pt>
                <c:pt idx="21">
                  <c:v>79.23334812199994</c:v>
                </c:pt>
                <c:pt idx="22">
                  <c:v>79.4523915157142</c:v>
                </c:pt>
                <c:pt idx="23">
                  <c:v>79.67143490942846</c:v>
                </c:pt>
                <c:pt idx="24">
                  <c:v>79.89047830314271</c:v>
                </c:pt>
                <c:pt idx="25">
                  <c:v>80.10952169685697</c:v>
                </c:pt>
                <c:pt idx="26">
                  <c:v>80.32856509057123</c:v>
                </c:pt>
                <c:pt idx="27">
                  <c:v>80.5476084842855</c:v>
                </c:pt>
                <c:pt idx="28">
                  <c:v>80.76665187799975</c:v>
                </c:pt>
                <c:pt idx="29">
                  <c:v>80.985695271714</c:v>
                </c:pt>
                <c:pt idx="30">
                  <c:v>81.20473866542827</c:v>
                </c:pt>
                <c:pt idx="31">
                  <c:v>81.42378205914252</c:v>
                </c:pt>
                <c:pt idx="32">
                  <c:v>81.64282545285678</c:v>
                </c:pt>
                <c:pt idx="33">
                  <c:v>81.86186884657104</c:v>
                </c:pt>
                <c:pt idx="34">
                  <c:v>82.0809122402853</c:v>
                </c:pt>
                <c:pt idx="35">
                  <c:v>82.29995563399955</c:v>
                </c:pt>
                <c:pt idx="36">
                  <c:v>82.51899902771381</c:v>
                </c:pt>
                <c:pt idx="37">
                  <c:v>82.73804242142808</c:v>
                </c:pt>
                <c:pt idx="38">
                  <c:v>82.95708581514233</c:v>
                </c:pt>
                <c:pt idx="39">
                  <c:v>83.17612920885659</c:v>
                </c:pt>
                <c:pt idx="40">
                  <c:v>83.39517260257085</c:v>
                </c:pt>
                <c:pt idx="41">
                  <c:v>83.6142159962851</c:v>
                </c:pt>
                <c:pt idx="42">
                  <c:v>83.83325938999936</c:v>
                </c:pt>
                <c:pt idx="43">
                  <c:v>84.05230278371363</c:v>
                </c:pt>
                <c:pt idx="44">
                  <c:v>84.27134617742789</c:v>
                </c:pt>
                <c:pt idx="45">
                  <c:v>84.49038957114214</c:v>
                </c:pt>
                <c:pt idx="46">
                  <c:v>84.7094329648564</c:v>
                </c:pt>
                <c:pt idx="47">
                  <c:v>84.92847635857066</c:v>
                </c:pt>
                <c:pt idx="48">
                  <c:v>85.14751975228492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ser>
          <c:idx val="3"/>
          <c:order val="3"/>
          <c:tx>
            <c:v>Cond 1</c:v>
          </c:tx>
          <c:spPr>
            <a:ln w="28575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'ANOVA H0 True, False'!$V$7:$V$55</c:f>
              <c:numCache>
                <c:formatCode>#,##0.00</c:formatCode>
                <c:ptCount val="49"/>
                <c:pt idx="0">
                  <c:v>84.63343685400051</c:v>
                </c:pt>
                <c:pt idx="1">
                  <c:v>84.85248024771477</c:v>
                </c:pt>
                <c:pt idx="2">
                  <c:v>85.07152364142902</c:v>
                </c:pt>
                <c:pt idx="3">
                  <c:v>85.29056703514328</c:v>
                </c:pt>
                <c:pt idx="4">
                  <c:v>85.50961042885754</c:v>
                </c:pt>
                <c:pt idx="5">
                  <c:v>85.7286538225718</c:v>
                </c:pt>
                <c:pt idx="6">
                  <c:v>85.94769721628605</c:v>
                </c:pt>
                <c:pt idx="7">
                  <c:v>86.16674061000032</c:v>
                </c:pt>
                <c:pt idx="8">
                  <c:v>86.38578400371458</c:v>
                </c:pt>
                <c:pt idx="9">
                  <c:v>86.60482739742883</c:v>
                </c:pt>
                <c:pt idx="10">
                  <c:v>86.82387079114309</c:v>
                </c:pt>
                <c:pt idx="11">
                  <c:v>87.04291418485735</c:v>
                </c:pt>
                <c:pt idx="12">
                  <c:v>87.26195757857161</c:v>
                </c:pt>
                <c:pt idx="13">
                  <c:v>87.48100097228587</c:v>
                </c:pt>
                <c:pt idx="14">
                  <c:v>87.70004436600013</c:v>
                </c:pt>
                <c:pt idx="15">
                  <c:v>87.91908775971438</c:v>
                </c:pt>
                <c:pt idx="16">
                  <c:v>88.13813115342865</c:v>
                </c:pt>
                <c:pt idx="17">
                  <c:v>88.3571745471429</c:v>
                </c:pt>
                <c:pt idx="18">
                  <c:v>88.57621794085716</c:v>
                </c:pt>
                <c:pt idx="19">
                  <c:v>88.79526133457142</c:v>
                </c:pt>
                <c:pt idx="20">
                  <c:v>89.01430472828567</c:v>
                </c:pt>
                <c:pt idx="21">
                  <c:v>89.23334812199994</c:v>
                </c:pt>
                <c:pt idx="22">
                  <c:v>89.4523915157142</c:v>
                </c:pt>
                <c:pt idx="23">
                  <c:v>89.67143490942846</c:v>
                </c:pt>
                <c:pt idx="24">
                  <c:v>89.89047830314271</c:v>
                </c:pt>
                <c:pt idx="25">
                  <c:v>90.10952169685697</c:v>
                </c:pt>
                <c:pt idx="26">
                  <c:v>90.32856509057123</c:v>
                </c:pt>
                <c:pt idx="27">
                  <c:v>90.5476084842855</c:v>
                </c:pt>
                <c:pt idx="28">
                  <c:v>90.76665187799975</c:v>
                </c:pt>
                <c:pt idx="29">
                  <c:v>90.985695271714</c:v>
                </c:pt>
                <c:pt idx="30">
                  <c:v>91.20473866542827</c:v>
                </c:pt>
                <c:pt idx="31">
                  <c:v>91.42378205914252</c:v>
                </c:pt>
                <c:pt idx="32">
                  <c:v>91.64282545285678</c:v>
                </c:pt>
                <c:pt idx="33">
                  <c:v>91.86186884657104</c:v>
                </c:pt>
                <c:pt idx="34">
                  <c:v>92.0809122402853</c:v>
                </c:pt>
                <c:pt idx="35">
                  <c:v>92.29995563399955</c:v>
                </c:pt>
                <c:pt idx="36">
                  <c:v>92.51899902771381</c:v>
                </c:pt>
                <c:pt idx="37">
                  <c:v>92.73804242142808</c:v>
                </c:pt>
                <c:pt idx="38">
                  <c:v>92.95708581514233</c:v>
                </c:pt>
                <c:pt idx="39">
                  <c:v>93.17612920885659</c:v>
                </c:pt>
                <c:pt idx="40">
                  <c:v>93.39517260257085</c:v>
                </c:pt>
                <c:pt idx="41">
                  <c:v>93.6142159962851</c:v>
                </c:pt>
                <c:pt idx="42">
                  <c:v>93.83325938999936</c:v>
                </c:pt>
                <c:pt idx="43">
                  <c:v>94.05230278371363</c:v>
                </c:pt>
                <c:pt idx="44">
                  <c:v>94.27134617742789</c:v>
                </c:pt>
                <c:pt idx="45">
                  <c:v>94.49038957114214</c:v>
                </c:pt>
                <c:pt idx="46">
                  <c:v>94.7094329648564</c:v>
                </c:pt>
                <c:pt idx="47">
                  <c:v>94.92847635857066</c:v>
                </c:pt>
                <c:pt idx="48">
                  <c:v>95.14751975228492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axId val="404584872"/>
        <c:axId val="404687736"/>
      </c:scatterChart>
      <c:valAx>
        <c:axId val="404584872"/>
        <c:scaling>
          <c:orientation val="minMax"/>
          <c:max val="100.0"/>
          <c:min val="50.0"/>
        </c:scaling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muj's for</a:t>
                </a:r>
                <a:r>
                  <a:rPr lang="en-US" sz="1800" b="0" baseline="0"/>
                  <a:t> the four conditions (not the same)</a:t>
                </a:r>
                <a:endParaRPr lang="en-US" sz="1800" b="0"/>
              </a:p>
            </c:rich>
          </c:tx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404687736"/>
        <c:crosses val="autoZero"/>
        <c:crossBetween val="midCat"/>
      </c:valAx>
      <c:valAx>
        <c:axId val="40468773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tickLblPos val="nextTo"/>
        <c:crossAx val="404584872"/>
        <c:crosses val="autoZero"/>
        <c:crossBetween val="midCat"/>
      </c:valAx>
      <c:spPr>
        <a:solidFill>
          <a:schemeClr val="bg2"/>
        </a:solidFill>
      </c:spPr>
    </c:plotArea>
    <c:plotVisOnly val="1"/>
    <c:dispBlanksAs val="gap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215901</xdr:colOff>
      <xdr:row>14</xdr:row>
      <xdr:rowOff>25400</xdr:rowOff>
    </xdr:from>
    <xdr:to>
      <xdr:col>9</xdr:col>
      <xdr:colOff>1</xdr:colOff>
      <xdr:row>27</xdr:row>
      <xdr:rowOff>266700</xdr:rowOff>
    </xdr:to>
    <xdr:grpSp>
      <xdr:nvGrpSpPr>
        <xdr:cNvPr id="7" name="Group 6"/>
        <xdr:cNvGrpSpPr/>
      </xdr:nvGrpSpPr>
      <xdr:grpSpPr>
        <a:xfrm>
          <a:off x="5018810" y="4897582"/>
          <a:ext cx="5660736" cy="5021118"/>
          <a:chOff x="11657154" y="1638135"/>
          <a:chExt cx="4659086" cy="5538439"/>
        </a:xfrm>
      </xdr:grpSpPr>
      <xdr:graphicFrame macro="">
        <xdr:nvGraphicFramePr>
          <xdr:cNvPr id="3" name="Chart 2"/>
          <xdr:cNvGraphicFramePr/>
        </xdr:nvGraphicFramePr>
        <xdr:xfrm>
          <a:off x="11657154" y="1638135"/>
          <a:ext cx="4659086" cy="55384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Straight Connector 4"/>
          <xdr:cNvCxnSpPr/>
        </xdr:nvCxnSpPr>
        <xdr:spPr>
          <a:xfrm flipV="1">
            <a:off x="12700386" y="5629478"/>
            <a:ext cx="3519192" cy="31218"/>
          </a:xfrm>
          <a:prstGeom prst="line">
            <a:avLst/>
          </a:prstGeom>
          <a:ln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/>
          <xdr:cNvSpPr txBox="1"/>
        </xdr:nvSpPr>
        <xdr:spPr>
          <a:xfrm>
            <a:off x="12091176" y="5378381"/>
            <a:ext cx="730338" cy="5109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en-US" sz="2400"/>
              <a:t>98.6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921500" y="3429000"/>
    <xdr:ext cx="5600700" cy="55499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257801" y="4072466"/>
    <xdr:ext cx="4076699" cy="5130800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512301" y="4068233"/>
    <xdr:ext cx="4089400" cy="51562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266266" y="3738033"/>
    <xdr:ext cx="4051300" cy="5499100"/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672233" y="3763435"/>
    <xdr:ext cx="4076700" cy="54610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212606" y="3122270"/>
    <xdr:ext cx="5065890" cy="5743222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565043" y="3129010"/>
    <xdr:ext cx="5065890" cy="5743222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79482" y="2582332"/>
    <xdr:ext cx="6331385" cy="4267211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517467" y="2590800"/>
    <xdr:ext cx="6341533" cy="426721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0310022" y="2992449"/>
    <xdr:ext cx="4475452" cy="5322709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999368" y="2981159"/>
    <xdr:ext cx="4625476" cy="5347367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2094633" y="2095501"/>
    <xdr:ext cx="7289800" cy="6324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16</xdr:col>
      <xdr:colOff>38100</xdr:colOff>
      <xdr:row>13</xdr:row>
      <xdr:rowOff>266700</xdr:rowOff>
    </xdr:from>
    <xdr:ext cx="1650587" cy="369332"/>
    <xdr:sp macro="" textlink="">
      <xdr:nvSpPr>
        <xdr:cNvPr id="4" name="TextBox 3"/>
        <xdr:cNvSpPr txBox="1"/>
      </xdr:nvSpPr>
      <xdr:spPr>
        <a:xfrm>
          <a:off x="15925800" y="4356100"/>
          <a:ext cx="165058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Immediate Test</a:t>
          </a:r>
        </a:p>
      </xdr:txBody>
    </xdr:sp>
    <xdr:clientData/>
  </xdr:oneCellAnchor>
  <xdr:oneCellAnchor>
    <xdr:from>
      <xdr:col>15</xdr:col>
      <xdr:colOff>660400</xdr:colOff>
      <xdr:row>18</xdr:row>
      <xdr:rowOff>203200</xdr:rowOff>
    </xdr:from>
    <xdr:ext cx="1392817" cy="369332"/>
    <xdr:sp macro="" textlink="">
      <xdr:nvSpPr>
        <xdr:cNvPr id="5" name="TextBox 4"/>
        <xdr:cNvSpPr txBox="1"/>
      </xdr:nvSpPr>
      <xdr:spPr>
        <a:xfrm>
          <a:off x="15328900" y="5880100"/>
          <a:ext cx="139281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Delayed Test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6"/>
  <sheetViews>
    <sheetView zoomScale="120" workbookViewId="0">
      <selection activeCell="B7" sqref="B7"/>
    </sheetView>
  </sheetViews>
  <sheetFormatPr baseColWidth="10" defaultColWidth="13.09765625" defaultRowHeight="19"/>
  <cols>
    <col min="1" max="1" width="11.3984375" style="316" customWidth="1"/>
    <col min="2" max="2" width="9.69921875" style="316" customWidth="1"/>
    <col min="3" max="3" width="3.19921875" style="316" customWidth="1"/>
    <col min="4" max="4" width="10" style="316" customWidth="1"/>
    <col min="5" max="5" width="12.5" style="316" customWidth="1"/>
    <col min="6" max="6" width="6.3984375" style="316" customWidth="1"/>
    <col min="7" max="7" width="7.796875" style="316" customWidth="1"/>
    <col min="8" max="8" width="3.19921875" style="316" customWidth="1"/>
    <col min="9" max="9" width="13.5" style="316" customWidth="1"/>
    <col min="10" max="10" width="9.59765625" style="316" customWidth="1"/>
    <col min="11" max="11" width="8.09765625" style="316" customWidth="1"/>
    <col min="12" max="13" width="6" style="316" customWidth="1"/>
    <col min="14" max="16" width="7.3984375" style="316" customWidth="1"/>
    <col min="17" max="17" width="8.296875" style="316" customWidth="1"/>
    <col min="18" max="16384" width="13.09765625" style="316"/>
  </cols>
  <sheetData>
    <row r="1" spans="1:13" s="333" customFormat="1" ht="43" customHeight="1">
      <c r="A1" s="334" t="s">
        <v>377</v>
      </c>
    </row>
    <row r="2" spans="1:13" s="304" customFormat="1" ht="10" customHeight="1">
      <c r="H2" s="313"/>
      <c r="I2" s="313"/>
      <c r="J2" s="313"/>
    </row>
    <row r="3" spans="1:13" ht="25">
      <c r="A3" s="314" t="s">
        <v>334</v>
      </c>
      <c r="B3" s="304"/>
      <c r="C3" s="304"/>
      <c r="D3" s="304"/>
      <c r="E3" s="304"/>
      <c r="F3" s="304"/>
      <c r="G3" s="307"/>
      <c r="H3" s="307"/>
      <c r="I3" s="315"/>
      <c r="J3" s="304"/>
      <c r="K3" s="304"/>
      <c r="L3" s="304"/>
      <c r="M3" s="304"/>
    </row>
    <row r="4" spans="1:13" ht="27" customHeight="1">
      <c r="A4" s="310" t="s">
        <v>191</v>
      </c>
      <c r="B4" s="304">
        <v>98.6</v>
      </c>
      <c r="C4" s="317" t="s">
        <v>192</v>
      </c>
      <c r="D4" s="304"/>
      <c r="E4" s="304"/>
      <c r="F4" s="304"/>
      <c r="G4" s="307"/>
      <c r="H4" s="307"/>
      <c r="I4" s="314" t="s">
        <v>180</v>
      </c>
      <c r="J4" s="318"/>
      <c r="K4" s="319"/>
      <c r="L4" s="304"/>
      <c r="M4" s="304"/>
    </row>
    <row r="5" spans="1:13" ht="27" customHeight="1">
      <c r="A5" s="310" t="s">
        <v>193</v>
      </c>
      <c r="B5" s="304">
        <v>99.5</v>
      </c>
      <c r="C5" s="317" t="s">
        <v>194</v>
      </c>
      <c r="D5" s="304"/>
      <c r="E5" s="304"/>
      <c r="F5" s="304"/>
      <c r="G5" s="307"/>
      <c r="H5" s="307"/>
      <c r="I5" s="317" t="s">
        <v>181</v>
      </c>
      <c r="J5" s="304"/>
      <c r="K5" s="304"/>
      <c r="L5" s="304"/>
      <c r="M5" s="304"/>
    </row>
    <row r="6" spans="1:13" ht="27" customHeight="1">
      <c r="A6" s="338" t="s">
        <v>195</v>
      </c>
      <c r="B6" s="339">
        <v>0.1</v>
      </c>
      <c r="C6" s="340" t="s">
        <v>200</v>
      </c>
      <c r="D6" s="339"/>
      <c r="E6" s="339"/>
      <c r="F6" s="339"/>
      <c r="G6" s="341"/>
      <c r="H6" s="341"/>
      <c r="I6" s="340" t="s">
        <v>302</v>
      </c>
      <c r="J6" s="340" t="s">
        <v>303</v>
      </c>
      <c r="K6" s="339"/>
      <c r="L6" s="304"/>
      <c r="M6" s="304"/>
    </row>
    <row r="7" spans="1:13" ht="14" customHeight="1">
      <c r="A7" s="310"/>
      <c r="B7" s="313"/>
      <c r="C7" s="317"/>
      <c r="D7" s="313"/>
      <c r="E7" s="313"/>
      <c r="F7" s="313"/>
      <c r="G7" s="307"/>
      <c r="H7" s="307"/>
      <c r="I7" s="313"/>
      <c r="J7" s="313"/>
      <c r="K7" s="313"/>
      <c r="L7" s="313"/>
      <c r="M7" s="313"/>
    </row>
    <row r="8" spans="1:13" s="320" customFormat="1" ht="32" customHeight="1">
      <c r="A8" s="314" t="s">
        <v>201</v>
      </c>
      <c r="B8" s="304"/>
      <c r="C8" s="307"/>
      <c r="D8" s="310" t="s">
        <v>123</v>
      </c>
      <c r="E8" s="311">
        <v>0.05</v>
      </c>
      <c r="F8" s="307"/>
      <c r="G8" s="307"/>
      <c r="H8" s="307"/>
      <c r="I8" s="305" t="s">
        <v>124</v>
      </c>
      <c r="J8" s="312">
        <v>0.95</v>
      </c>
      <c r="K8" s="307"/>
      <c r="L8" s="307"/>
      <c r="M8" s="307"/>
    </row>
    <row r="9" spans="1:13" ht="28" customHeight="1" thickBot="1">
      <c r="A9" s="329" t="s">
        <v>468</v>
      </c>
      <c r="B9" s="329" t="s">
        <v>469</v>
      </c>
      <c r="C9" s="304"/>
      <c r="D9" s="303" t="s">
        <v>361</v>
      </c>
      <c r="E9" s="304"/>
      <c r="F9" s="304"/>
      <c r="G9" s="304"/>
      <c r="H9" s="313"/>
      <c r="I9" s="303" t="s">
        <v>204</v>
      </c>
      <c r="J9" s="304"/>
      <c r="K9" s="304"/>
      <c r="L9" s="304"/>
      <c r="M9" s="304"/>
    </row>
    <row r="10" spans="1:13" s="320" customFormat="1" ht="31" customHeight="1" thickBot="1">
      <c r="A10" s="321">
        <v>1</v>
      </c>
      <c r="B10" s="327">
        <f ca="1">NORMINV(RAND(),$B$5,$B$6)</f>
        <v>99.652191879181828</v>
      </c>
      <c r="C10" s="307"/>
      <c r="D10" s="337" t="s">
        <v>205</v>
      </c>
      <c r="E10" s="346">
        <f ca="1">(B20-B4)/B30</f>
        <v>28.863585906145833</v>
      </c>
      <c r="F10" s="335" t="s">
        <v>402</v>
      </c>
      <c r="G10" s="336"/>
      <c r="H10" s="307"/>
      <c r="I10" s="305" t="s">
        <v>206</v>
      </c>
      <c r="J10" s="308">
        <f ca="1">B30</f>
        <v>3.0522493533475394E-2</v>
      </c>
      <c r="K10" s="304"/>
      <c r="L10" s="307"/>
      <c r="M10" s="307"/>
    </row>
    <row r="11" spans="1:13" ht="30" customHeight="1" thickBot="1">
      <c r="A11" s="321">
        <v>2</v>
      </c>
      <c r="B11" s="327">
        <f t="shared" ref="B11:B19" ca="1" si="0">NORMINV(RAND(),$B$5,$B$6)</f>
        <v>99.373858324117734</v>
      </c>
      <c r="C11" s="310"/>
      <c r="D11" s="305" t="s">
        <v>207</v>
      </c>
      <c r="E11" s="306">
        <f ca="1">TINV(2*E8,B26)</f>
        <v>1.83311292255007</v>
      </c>
      <c r="F11" s="304"/>
      <c r="G11" s="304"/>
      <c r="H11" s="313"/>
      <c r="I11" s="305" t="s">
        <v>208</v>
      </c>
      <c r="J11" s="306">
        <f ca="1">TINV(1-J8,B26)</f>
        <v>2.262157158173582</v>
      </c>
      <c r="K11" s="304"/>
      <c r="L11" s="304"/>
      <c r="M11" s="304"/>
    </row>
    <row r="12" spans="1:13" ht="30" customHeight="1" thickBot="1">
      <c r="A12" s="321">
        <v>3</v>
      </c>
      <c r="B12" s="327">
        <f t="shared" ca="1" si="0"/>
        <v>99.519060255276869</v>
      </c>
      <c r="C12" s="310"/>
      <c r="D12" s="305"/>
      <c r="E12" s="304"/>
      <c r="F12" s="304"/>
      <c r="G12" s="304"/>
      <c r="H12" s="313"/>
      <c r="I12" s="337" t="s">
        <v>209</v>
      </c>
      <c r="J12" s="347">
        <f ca="1">J10*J11</f>
        <v>6.9046677232058234E-2</v>
      </c>
      <c r="K12" s="309" t="s">
        <v>376</v>
      </c>
      <c r="L12" s="304"/>
      <c r="M12" s="304"/>
    </row>
    <row r="13" spans="1:13" ht="30" customHeight="1">
      <c r="A13" s="321">
        <v>4</v>
      </c>
      <c r="B13" s="327">
        <f t="shared" ca="1" si="0"/>
        <v>99.426302510917694</v>
      </c>
      <c r="C13" s="305"/>
      <c r="D13" s="304"/>
      <c r="E13" s="304"/>
      <c r="F13" s="304"/>
      <c r="G13" s="304"/>
      <c r="H13" s="313"/>
      <c r="K13" s="331"/>
      <c r="L13" s="331"/>
      <c r="M13" s="304"/>
    </row>
    <row r="14" spans="1:13" ht="30" customHeight="1">
      <c r="A14" s="321">
        <v>5</v>
      </c>
      <c r="B14" s="327">
        <f t="shared" ca="1" si="0"/>
        <v>99.566040526944064</v>
      </c>
      <c r="C14" s="304"/>
      <c r="D14" s="304"/>
      <c r="E14" s="304"/>
      <c r="F14" s="304"/>
      <c r="G14" s="304"/>
      <c r="H14" s="313"/>
      <c r="I14" s="305" t="s">
        <v>210</v>
      </c>
      <c r="J14" s="332">
        <f ca="1">B20+J12</f>
        <v>99.550035291405294</v>
      </c>
      <c r="K14" s="424" t="s">
        <v>179</v>
      </c>
      <c r="L14" s="425"/>
      <c r="M14" s="304"/>
    </row>
    <row r="15" spans="1:13" ht="30" customHeight="1">
      <c r="A15" s="321">
        <v>6</v>
      </c>
      <c r="B15" s="327">
        <f t="shared" ca="1" si="0"/>
        <v>99.406470474928994</v>
      </c>
      <c r="C15" s="304"/>
      <c r="D15" s="304"/>
      <c r="E15" s="304"/>
      <c r="F15" s="304"/>
      <c r="G15" s="304"/>
      <c r="H15" s="313"/>
      <c r="I15" s="305" t="s">
        <v>367</v>
      </c>
      <c r="J15" s="332">
        <f ca="1">B20-J12</f>
        <v>99.41194193694119</v>
      </c>
      <c r="K15" s="424"/>
      <c r="L15" s="425"/>
      <c r="M15" s="304"/>
    </row>
    <row r="16" spans="1:13" ht="30" customHeight="1">
      <c r="A16" s="321">
        <v>7</v>
      </c>
      <c r="B16" s="327">
        <f t="shared" ca="1" si="0"/>
        <v>99.431891214319108</v>
      </c>
      <c r="C16" s="304"/>
      <c r="D16" s="304"/>
      <c r="E16" s="304"/>
      <c r="F16" s="304"/>
      <c r="G16" s="304"/>
      <c r="H16" s="313"/>
      <c r="I16" s="304"/>
      <c r="J16" s="304"/>
      <c r="K16" s="304"/>
      <c r="L16" s="304"/>
      <c r="M16" s="304"/>
    </row>
    <row r="17" spans="1:13" ht="30" customHeight="1">
      <c r="A17" s="321">
        <v>8</v>
      </c>
      <c r="B17" s="327">
        <f t="shared" ca="1" si="0"/>
        <v>99.383604387787017</v>
      </c>
      <c r="C17" s="304"/>
      <c r="D17" s="304"/>
      <c r="E17" s="304"/>
      <c r="F17" s="304"/>
      <c r="G17" s="304"/>
      <c r="H17" s="313"/>
      <c r="I17" s="304"/>
      <c r="J17" s="304"/>
      <c r="K17" s="304"/>
      <c r="L17" s="304"/>
      <c r="M17" s="304"/>
    </row>
    <row r="18" spans="1:13" ht="30" customHeight="1">
      <c r="A18" s="321">
        <v>9</v>
      </c>
      <c r="B18" s="327">
        <f t="shared" ca="1" si="0"/>
        <v>99.596022949565096</v>
      </c>
      <c r="C18" s="304"/>
      <c r="D18" s="304"/>
      <c r="E18" s="304"/>
      <c r="F18" s="304"/>
      <c r="G18" s="304"/>
      <c r="H18" s="313"/>
      <c r="I18" s="304"/>
      <c r="J18" s="304"/>
      <c r="K18" s="304"/>
      <c r="L18" s="304"/>
      <c r="M18" s="304"/>
    </row>
    <row r="19" spans="1:13" ht="30" customHeight="1">
      <c r="A19" s="321">
        <v>10</v>
      </c>
      <c r="B19" s="328">
        <f t="shared" ca="1" si="0"/>
        <v>99.454443618694143</v>
      </c>
      <c r="C19" s="304"/>
      <c r="D19" s="304"/>
      <c r="E19" s="304"/>
      <c r="F19" s="304"/>
      <c r="G19" s="304"/>
      <c r="H19" s="313"/>
      <c r="I19" s="304"/>
      <c r="J19" s="304"/>
      <c r="K19" s="304"/>
      <c r="L19" s="304"/>
      <c r="M19" s="304"/>
    </row>
    <row r="20" spans="1:13" ht="30" customHeight="1">
      <c r="A20" s="304" t="s">
        <v>368</v>
      </c>
      <c r="B20" s="308">
        <f ca="1">AVERAGE(B10:B19)</f>
        <v>99.480988614173242</v>
      </c>
      <c r="C20" s="304"/>
      <c r="D20" s="322"/>
      <c r="E20" s="304"/>
      <c r="F20" s="304"/>
      <c r="G20" s="304"/>
      <c r="H20" s="313"/>
      <c r="I20" s="304"/>
      <c r="J20" s="304"/>
      <c r="K20" s="304"/>
      <c r="L20" s="304"/>
      <c r="M20" s="304"/>
    </row>
    <row r="21" spans="1:13" ht="16" customHeight="1">
      <c r="A21" s="304"/>
      <c r="B21" s="308"/>
      <c r="C21" s="304"/>
      <c r="D21" s="322"/>
      <c r="E21" s="304"/>
      <c r="F21" s="304"/>
      <c r="G21" s="304"/>
      <c r="H21" s="313"/>
      <c r="I21" s="304"/>
      <c r="J21" s="304"/>
      <c r="K21" s="304"/>
      <c r="L21" s="304"/>
      <c r="M21" s="304"/>
    </row>
    <row r="22" spans="1:13" ht="30" customHeight="1">
      <c r="A22" s="303" t="s">
        <v>369</v>
      </c>
      <c r="B22" s="304"/>
      <c r="C22" s="304"/>
      <c r="D22" s="304"/>
      <c r="E22" s="304"/>
      <c r="F22" s="304"/>
      <c r="G22" s="304"/>
      <c r="H22" s="313"/>
      <c r="I22" s="304"/>
      <c r="J22" s="304"/>
      <c r="K22" s="304"/>
      <c r="L22" s="304"/>
      <c r="M22" s="304"/>
    </row>
    <row r="23" spans="1:13" ht="30" customHeight="1">
      <c r="A23" s="305" t="s">
        <v>492</v>
      </c>
      <c r="B23" s="323">
        <f ca="1">SUM(B10:B19)</f>
        <v>994.80988614173248</v>
      </c>
      <c r="C23" s="322" t="s">
        <v>65</v>
      </c>
      <c r="D23" s="304"/>
      <c r="E23" s="304"/>
      <c r="F23" s="304"/>
      <c r="G23" s="304"/>
      <c r="H23" s="313"/>
      <c r="I23" s="304"/>
      <c r="J23" s="304"/>
      <c r="K23" s="304"/>
      <c r="L23" s="304"/>
      <c r="M23" s="304"/>
    </row>
    <row r="24" spans="1:13" ht="30" customHeight="1">
      <c r="A24" s="305" t="s">
        <v>493</v>
      </c>
      <c r="B24" s="324">
        <f ca="1">COUNT(B10:B19)</f>
        <v>10</v>
      </c>
      <c r="C24" s="322" t="s">
        <v>66</v>
      </c>
      <c r="D24" s="304"/>
      <c r="E24" s="304"/>
      <c r="F24" s="304"/>
      <c r="G24" s="304"/>
      <c r="H24" s="313"/>
      <c r="I24" s="304"/>
      <c r="J24" s="304"/>
      <c r="K24" s="304"/>
      <c r="L24" s="304"/>
      <c r="M24" s="304"/>
    </row>
    <row r="25" spans="1:13" ht="27" customHeight="1">
      <c r="A25" s="325" t="s">
        <v>494</v>
      </c>
      <c r="B25" s="319">
        <f ca="1">SUMSQ(B10:B19)-B23^2/B24</f>
        <v>8.3846035035094246E-2</v>
      </c>
      <c r="C25" s="322" t="s">
        <v>471</v>
      </c>
      <c r="D25" s="304"/>
      <c r="E25" s="304"/>
      <c r="F25" s="304"/>
      <c r="G25" s="304"/>
      <c r="H25" s="313"/>
      <c r="I25" s="304"/>
      <c r="J25" s="304"/>
      <c r="K25" s="304"/>
      <c r="L25" s="304"/>
      <c r="M25" s="304"/>
    </row>
    <row r="26" spans="1:13" ht="27" customHeight="1">
      <c r="A26" s="326" t="s">
        <v>495</v>
      </c>
      <c r="B26" s="321">
        <f ca="1">B24-1</f>
        <v>9</v>
      </c>
      <c r="C26" s="322" t="s">
        <v>470</v>
      </c>
      <c r="D26" s="304"/>
      <c r="E26" s="304"/>
      <c r="F26" s="304"/>
      <c r="G26" s="304"/>
      <c r="H26" s="313"/>
      <c r="I26" s="304"/>
      <c r="J26" s="304"/>
      <c r="K26" s="304"/>
      <c r="L26" s="304"/>
      <c r="M26" s="304"/>
    </row>
    <row r="27" spans="1:13" ht="27" customHeight="1">
      <c r="A27" s="305" t="s">
        <v>496</v>
      </c>
      <c r="B27" s="306">
        <f ca="1">B25/B26</f>
        <v>9.316226115010472E-3</v>
      </c>
      <c r="C27" s="322" t="s">
        <v>472</v>
      </c>
      <c r="D27" s="304"/>
      <c r="E27" s="304"/>
      <c r="F27" s="304"/>
      <c r="G27" s="304"/>
      <c r="H27" s="313"/>
      <c r="I27" s="304"/>
      <c r="J27" s="304"/>
      <c r="K27" s="304"/>
      <c r="L27" s="304"/>
      <c r="M27" s="304"/>
    </row>
    <row r="28" spans="1:13" ht="27" customHeight="1">
      <c r="A28" s="305" t="s">
        <v>331</v>
      </c>
      <c r="B28" s="306">
        <f ca="1">SQRT(B27)</f>
        <v>9.6520599433543061E-2</v>
      </c>
      <c r="C28" s="330" t="s">
        <v>448</v>
      </c>
      <c r="D28" s="322"/>
      <c r="E28" s="304"/>
      <c r="F28" s="304"/>
      <c r="G28" s="304"/>
      <c r="H28" s="313"/>
      <c r="I28" s="304"/>
      <c r="J28" s="304"/>
      <c r="K28" s="304"/>
      <c r="L28" s="304"/>
      <c r="M28" s="304"/>
    </row>
    <row r="29" spans="1:13" ht="27" customHeight="1">
      <c r="A29" s="305" t="s">
        <v>466</v>
      </c>
      <c r="B29" s="306">
        <f ca="1">B27/B24</f>
        <v>9.3162261150104718E-4</v>
      </c>
      <c r="C29" s="330" t="s">
        <v>63</v>
      </c>
      <c r="D29" s="304"/>
      <c r="E29" s="304"/>
      <c r="F29" s="304"/>
      <c r="G29" s="304"/>
      <c r="H29" s="313"/>
      <c r="I29" s="304"/>
      <c r="J29" s="304"/>
      <c r="K29" s="304"/>
      <c r="L29" s="304"/>
      <c r="M29" s="304"/>
    </row>
    <row r="30" spans="1:13" ht="27" customHeight="1">
      <c r="A30" s="305" t="s">
        <v>467</v>
      </c>
      <c r="B30" s="306">
        <f ca="1">SQRT(B29)</f>
        <v>3.0522493533475394E-2</v>
      </c>
      <c r="C30" s="322" t="s">
        <v>64</v>
      </c>
      <c r="D30" s="304"/>
      <c r="E30" s="304"/>
      <c r="F30" s="304"/>
      <c r="G30" s="304"/>
      <c r="H30" s="313"/>
      <c r="I30" s="304"/>
      <c r="J30" s="304"/>
      <c r="K30" s="304"/>
      <c r="L30" s="304"/>
      <c r="M30" s="304"/>
    </row>
    <row r="31" spans="1:13" ht="27" customHeight="1">
      <c r="A31" s="304"/>
      <c r="B31" s="304"/>
      <c r="C31" s="304"/>
      <c r="D31" s="304"/>
      <c r="E31" s="304"/>
      <c r="F31" s="304"/>
      <c r="G31" s="304"/>
      <c r="H31" s="313"/>
      <c r="I31" s="304"/>
      <c r="J31" s="304"/>
      <c r="K31" s="304"/>
      <c r="L31" s="304"/>
      <c r="M31" s="304"/>
    </row>
    <row r="32" spans="1:13" ht="27" customHeight="1">
      <c r="A32" s="304"/>
      <c r="B32" s="304"/>
      <c r="C32" s="304"/>
      <c r="D32" s="304"/>
      <c r="E32" s="304"/>
      <c r="F32" s="304"/>
      <c r="G32" s="304"/>
      <c r="H32" s="313"/>
      <c r="I32" s="304"/>
      <c r="J32" s="304"/>
      <c r="K32" s="304"/>
      <c r="L32" s="304"/>
      <c r="M32" s="304"/>
    </row>
    <row r="33" spans="1:13" ht="27" customHeight="1">
      <c r="A33" s="305"/>
      <c r="B33" s="304"/>
      <c r="C33" s="304"/>
      <c r="D33" s="304"/>
      <c r="E33" s="304"/>
      <c r="F33" s="304"/>
      <c r="G33" s="304"/>
      <c r="H33" s="313"/>
      <c r="I33" s="304"/>
      <c r="J33" s="304"/>
      <c r="K33" s="304"/>
      <c r="L33" s="304"/>
      <c r="M33" s="304"/>
    </row>
    <row r="34" spans="1:13" ht="30" customHeight="1">
      <c r="A34" s="304"/>
      <c r="B34" s="304"/>
      <c r="C34" s="304"/>
      <c r="D34" s="304"/>
      <c r="E34" s="304"/>
      <c r="F34" s="304"/>
      <c r="G34" s="304"/>
      <c r="H34" s="313"/>
      <c r="I34" s="304"/>
      <c r="J34" s="304"/>
      <c r="K34" s="304"/>
      <c r="L34" s="304"/>
      <c r="M34" s="304"/>
    </row>
    <row r="35" spans="1:13" ht="27" customHeight="1">
      <c r="A35" s="304"/>
      <c r="B35" s="304"/>
      <c r="C35" s="304"/>
      <c r="D35" s="304"/>
      <c r="E35" s="304"/>
      <c r="F35" s="304"/>
      <c r="G35" s="304"/>
      <c r="H35" s="313"/>
      <c r="I35" s="304"/>
      <c r="J35" s="304"/>
      <c r="K35" s="304"/>
      <c r="L35" s="304"/>
      <c r="M35" s="304"/>
    </row>
    <row r="36" spans="1:13" ht="27" customHeight="1">
      <c r="A36" s="304"/>
      <c r="B36" s="304"/>
      <c r="C36" s="304"/>
      <c r="D36" s="304"/>
      <c r="E36" s="304"/>
      <c r="F36" s="304"/>
      <c r="G36" s="304"/>
      <c r="H36" s="313"/>
      <c r="I36" s="304"/>
      <c r="J36" s="304"/>
      <c r="K36" s="304"/>
      <c r="L36" s="304"/>
      <c r="M36" s="304"/>
    </row>
    <row r="37" spans="1:13" ht="27" customHeight="1">
      <c r="A37" s="304"/>
      <c r="B37" s="304"/>
      <c r="C37" s="304"/>
      <c r="D37" s="304"/>
      <c r="E37" s="304"/>
      <c r="F37" s="304"/>
      <c r="G37" s="304"/>
      <c r="H37" s="313"/>
      <c r="I37" s="304"/>
      <c r="J37" s="304"/>
      <c r="K37" s="304"/>
      <c r="L37" s="304"/>
      <c r="M37" s="304"/>
    </row>
    <row r="38" spans="1:13" ht="27" customHeight="1">
      <c r="A38" s="304"/>
      <c r="B38" s="304"/>
      <c r="C38" s="304"/>
      <c r="D38" s="304"/>
      <c r="E38" s="304"/>
      <c r="F38" s="304"/>
      <c r="G38" s="304"/>
      <c r="H38" s="313"/>
      <c r="I38" s="304"/>
      <c r="J38" s="304"/>
      <c r="K38" s="304"/>
      <c r="L38" s="304"/>
      <c r="M38" s="304"/>
    </row>
    <row r="39" spans="1:13" ht="27" customHeight="1">
      <c r="A39" s="305"/>
      <c r="B39" s="304"/>
      <c r="C39" s="304"/>
      <c r="D39" s="304"/>
      <c r="E39" s="304"/>
      <c r="F39" s="304"/>
      <c r="G39" s="304"/>
      <c r="H39" s="313"/>
      <c r="I39" s="304"/>
      <c r="J39" s="304"/>
      <c r="K39" s="304"/>
      <c r="L39" s="304"/>
      <c r="M39" s="304"/>
    </row>
    <row r="40" spans="1:13" ht="30" customHeight="1">
      <c r="A40" s="304"/>
      <c r="B40" s="304"/>
      <c r="C40" s="304"/>
      <c r="D40" s="304"/>
      <c r="E40" s="304"/>
      <c r="F40" s="304"/>
      <c r="G40" s="304"/>
      <c r="H40" s="313"/>
      <c r="I40" s="304"/>
      <c r="J40" s="304"/>
      <c r="K40" s="304"/>
      <c r="L40" s="304"/>
      <c r="M40" s="304"/>
    </row>
    <row r="41" spans="1:13" ht="27" customHeight="1">
      <c r="A41" s="304"/>
      <c r="B41" s="304"/>
      <c r="C41" s="304"/>
      <c r="D41" s="304"/>
      <c r="E41" s="304"/>
      <c r="F41" s="304"/>
      <c r="G41" s="304"/>
      <c r="H41" s="313"/>
      <c r="I41" s="304"/>
      <c r="J41" s="304"/>
      <c r="K41" s="304"/>
      <c r="L41" s="304"/>
      <c r="M41" s="304"/>
    </row>
    <row r="42" spans="1:13" ht="27" customHeight="1"/>
    <row r="43" spans="1:13" ht="27" customHeight="1"/>
    <row r="44" spans="1:13" ht="27" customHeight="1"/>
    <row r="45" spans="1:13" ht="27" customHeight="1"/>
    <row r="46" spans="1:13" ht="27" customHeight="1"/>
  </sheetData>
  <sheetCalcPr fullCalcOnLoad="1"/>
  <mergeCells count="1">
    <mergeCell ref="K14:L15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1"/>
  <sheetViews>
    <sheetView zoomScale="98" workbookViewId="0">
      <selection activeCell="N41" sqref="N41"/>
    </sheetView>
  </sheetViews>
  <sheetFormatPr baseColWidth="10" defaultRowHeight="19"/>
  <cols>
    <col min="1" max="1" width="6.69921875" style="1" customWidth="1"/>
    <col min="2" max="2" width="15.796875" style="1" customWidth="1"/>
    <col min="3" max="10" width="7.3984375" style="1" customWidth="1"/>
    <col min="11" max="12" width="5.796875" style="1" customWidth="1"/>
    <col min="13" max="13" width="3" style="1" customWidth="1"/>
    <col min="14" max="15" width="9.59765625" style="33" customWidth="1"/>
    <col min="16" max="35" width="9.59765625" style="1" customWidth="1"/>
    <col min="36" max="16384" width="10.69921875" style="1"/>
  </cols>
  <sheetData>
    <row r="1" spans="1:18" ht="23" customHeight="1">
      <c r="A1" s="444" t="s">
        <v>250</v>
      </c>
      <c r="B1" s="445"/>
      <c r="C1" s="463" t="s">
        <v>130</v>
      </c>
      <c r="D1" s="463"/>
      <c r="E1" s="463"/>
      <c r="F1" s="463"/>
      <c r="G1" s="463"/>
      <c r="H1" s="463"/>
      <c r="I1" s="463"/>
      <c r="J1" s="463"/>
      <c r="K1" s="233"/>
      <c r="L1" s="233"/>
      <c r="N1" s="299"/>
      <c r="O1" s="299"/>
      <c r="P1" s="18" t="s">
        <v>43</v>
      </c>
      <c r="Q1" s="300"/>
      <c r="R1" s="300"/>
    </row>
    <row r="2" spans="1:18" ht="23" customHeight="1">
      <c r="A2" s="446"/>
      <c r="B2" s="446"/>
      <c r="C2" s="277" t="s">
        <v>251</v>
      </c>
      <c r="D2" s="279">
        <v>1</v>
      </c>
      <c r="E2" s="278" t="s">
        <v>226</v>
      </c>
      <c r="F2" s="279">
        <v>15</v>
      </c>
      <c r="G2" s="278" t="s">
        <v>227</v>
      </c>
      <c r="H2" s="279">
        <v>30</v>
      </c>
      <c r="I2" s="278" t="s">
        <v>228</v>
      </c>
      <c r="J2" s="279">
        <v>45</v>
      </c>
      <c r="K2" s="80"/>
      <c r="L2" s="80"/>
      <c r="M2" s="9"/>
      <c r="N2" s="205" t="s">
        <v>474</v>
      </c>
      <c r="O2" s="206" t="s">
        <v>52</v>
      </c>
      <c r="P2" s="206" t="s">
        <v>53</v>
      </c>
      <c r="Q2" s="207" t="s">
        <v>80</v>
      </c>
      <c r="R2" s="207" t="s">
        <v>81</v>
      </c>
    </row>
    <row r="3" spans="1:18" ht="23" customHeight="1">
      <c r="A3" s="467" t="s">
        <v>479</v>
      </c>
      <c r="B3" s="464" t="s">
        <v>1</v>
      </c>
      <c r="C3" s="468" t="s">
        <v>480</v>
      </c>
      <c r="D3" s="454">
        <v>90</v>
      </c>
      <c r="E3" s="457" t="s">
        <v>481</v>
      </c>
      <c r="F3" s="454">
        <v>80</v>
      </c>
      <c r="G3" s="457" t="s">
        <v>482</v>
      </c>
      <c r="H3" s="454">
        <v>70</v>
      </c>
      <c r="I3" s="457" t="s">
        <v>221</v>
      </c>
      <c r="J3" s="453">
        <v>65</v>
      </c>
      <c r="K3" s="474" t="s">
        <v>222</v>
      </c>
      <c r="L3" s="476">
        <f>AVERAGE(D3,F3,H3,J3)</f>
        <v>76.25</v>
      </c>
      <c r="M3" s="89"/>
      <c r="N3" s="156">
        <v>1</v>
      </c>
      <c r="O3" s="157">
        <f>D3</f>
        <v>90</v>
      </c>
      <c r="P3" s="157">
        <f>D5</f>
        <v>66</v>
      </c>
      <c r="Q3" s="281">
        <f ca="1">D18</f>
        <v>89</v>
      </c>
      <c r="R3" s="281">
        <f ca="1">D26</f>
        <v>66.2</v>
      </c>
    </row>
    <row r="4" spans="1:18" ht="23" customHeight="1">
      <c r="A4" s="467"/>
      <c r="B4" s="465"/>
      <c r="C4" s="468"/>
      <c r="D4" s="456"/>
      <c r="E4" s="458"/>
      <c r="F4" s="456"/>
      <c r="G4" s="458"/>
      <c r="H4" s="456"/>
      <c r="I4" s="458"/>
      <c r="J4" s="454"/>
      <c r="K4" s="475"/>
      <c r="L4" s="477"/>
      <c r="M4" s="89"/>
      <c r="N4" s="156">
        <v>15</v>
      </c>
      <c r="O4" s="157">
        <f>F3</f>
        <v>80</v>
      </c>
      <c r="P4" s="157">
        <f>F5</f>
        <v>63</v>
      </c>
      <c r="Q4" s="281">
        <f ca="1">F18</f>
        <v>79.8</v>
      </c>
      <c r="R4" s="281">
        <f ca="1">F26</f>
        <v>64.2</v>
      </c>
    </row>
    <row r="5" spans="1:18" ht="23" customHeight="1">
      <c r="A5" s="467"/>
      <c r="B5" s="466" t="s">
        <v>223</v>
      </c>
      <c r="C5" s="468" t="s">
        <v>100</v>
      </c>
      <c r="D5" s="456">
        <v>66</v>
      </c>
      <c r="E5" s="459" t="s">
        <v>101</v>
      </c>
      <c r="F5" s="456">
        <v>63</v>
      </c>
      <c r="G5" s="459" t="s">
        <v>102</v>
      </c>
      <c r="H5" s="456">
        <v>62</v>
      </c>
      <c r="I5" s="459" t="s">
        <v>103</v>
      </c>
      <c r="J5" s="455">
        <v>61</v>
      </c>
      <c r="K5" s="474" t="s">
        <v>104</v>
      </c>
      <c r="L5" s="476">
        <f>AVERAGE(D5,F5,H5,J5)</f>
        <v>63</v>
      </c>
      <c r="M5" s="89"/>
      <c r="N5" s="156">
        <v>30</v>
      </c>
      <c r="O5" s="157">
        <f>H3</f>
        <v>70</v>
      </c>
      <c r="P5" s="157">
        <f>H5</f>
        <v>62</v>
      </c>
      <c r="Q5" s="281">
        <f ca="1">H18</f>
        <v>67.2</v>
      </c>
      <c r="R5" s="281">
        <f ca="1">H26</f>
        <v>61.2</v>
      </c>
    </row>
    <row r="6" spans="1:18" ht="23" customHeight="1">
      <c r="A6" s="467"/>
      <c r="B6" s="466"/>
      <c r="C6" s="468"/>
      <c r="D6" s="456"/>
      <c r="E6" s="458"/>
      <c r="F6" s="456"/>
      <c r="G6" s="458"/>
      <c r="H6" s="456"/>
      <c r="I6" s="458"/>
      <c r="J6" s="454"/>
      <c r="K6" s="475"/>
      <c r="L6" s="477"/>
      <c r="M6" s="89"/>
      <c r="N6" s="156">
        <v>45</v>
      </c>
      <c r="O6" s="157">
        <f>J3</f>
        <v>65</v>
      </c>
      <c r="P6" s="157">
        <f>J5</f>
        <v>61</v>
      </c>
      <c r="Q6" s="281">
        <f ca="1">J18</f>
        <v>65.599999999999994</v>
      </c>
      <c r="R6" s="281">
        <f ca="1">J26</f>
        <v>59.6</v>
      </c>
    </row>
    <row r="7" spans="1:18" ht="23" customHeight="1" thickBot="1">
      <c r="A7" s="228" t="s">
        <v>89</v>
      </c>
      <c r="B7" s="229">
        <v>3</v>
      </c>
      <c r="C7" s="270" t="s">
        <v>105</v>
      </c>
      <c r="D7" s="232">
        <f>AVERAGE(D3:D5)</f>
        <v>78</v>
      </c>
      <c r="E7" s="230" t="s">
        <v>106</v>
      </c>
      <c r="F7" s="232">
        <f>AVERAGE(F3:F5)</f>
        <v>71.5</v>
      </c>
      <c r="G7" s="230" t="s">
        <v>475</v>
      </c>
      <c r="H7" s="232">
        <f>AVERAGE(H3:H5)</f>
        <v>66</v>
      </c>
      <c r="I7" s="230" t="s">
        <v>290</v>
      </c>
      <c r="J7" s="232">
        <f>AVERAGE(J3:J5)</f>
        <v>63</v>
      </c>
      <c r="K7" s="230" t="s">
        <v>291</v>
      </c>
      <c r="L7" s="231">
        <f>AVERAGE(D7,F7,H7,J7)</f>
        <v>69.625</v>
      </c>
      <c r="M7" s="9"/>
      <c r="N7" s="1"/>
      <c r="O7" s="1"/>
    </row>
    <row r="8" spans="1:18" ht="23" customHeight="1">
      <c r="A8" s="179"/>
      <c r="B8" s="271"/>
      <c r="C8" s="272"/>
      <c r="D8" s="273"/>
      <c r="E8" s="122" t="s">
        <v>478</v>
      </c>
      <c r="F8" s="273">
        <v>0.05</v>
      </c>
      <c r="G8" s="273" t="s">
        <v>39</v>
      </c>
      <c r="H8" s="274">
        <v>0.95</v>
      </c>
      <c r="I8" s="272"/>
      <c r="J8" s="273"/>
      <c r="K8" s="272"/>
      <c r="L8" s="271"/>
      <c r="M8" s="9"/>
      <c r="N8" s="1"/>
      <c r="O8" s="1"/>
    </row>
    <row r="9" spans="1:18" ht="23" customHeight="1">
      <c r="A9" s="179"/>
      <c r="B9" s="275" t="s">
        <v>477</v>
      </c>
      <c r="C9" s="276">
        <v>4</v>
      </c>
      <c r="D9" s="275" t="s">
        <v>459</v>
      </c>
      <c r="E9" s="276">
        <v>2</v>
      </c>
      <c r="F9" s="275" t="s">
        <v>45</v>
      </c>
      <c r="G9" s="276">
        <v>5</v>
      </c>
      <c r="H9" s="180" t="s">
        <v>460</v>
      </c>
      <c r="I9" s="276">
        <f>G9*E9</f>
        <v>10</v>
      </c>
      <c r="J9" s="180" t="s">
        <v>461</v>
      </c>
      <c r="K9" s="276">
        <f>G9*C9</f>
        <v>20</v>
      </c>
      <c r="L9" s="271"/>
      <c r="M9" s="9"/>
    </row>
    <row r="10" spans="1:18" ht="23" customHeight="1">
      <c r="A10" s="179"/>
      <c r="B10" s="180"/>
      <c r="C10" s="452" t="s">
        <v>130</v>
      </c>
      <c r="D10" s="452"/>
      <c r="E10" s="452"/>
      <c r="F10" s="452"/>
      <c r="G10" s="452"/>
      <c r="H10" s="452"/>
      <c r="I10" s="452"/>
      <c r="J10" s="452"/>
      <c r="K10" s="181"/>
      <c r="L10" s="126"/>
      <c r="M10" s="7"/>
    </row>
    <row r="11" spans="1:18" ht="23" customHeight="1" thickBot="1">
      <c r="A11" s="203"/>
      <c r="B11" s="199"/>
      <c r="C11" s="447" t="s">
        <v>324</v>
      </c>
      <c r="D11" s="448"/>
      <c r="E11" s="449" t="s">
        <v>50</v>
      </c>
      <c r="F11" s="450"/>
      <c r="G11" s="449" t="s">
        <v>442</v>
      </c>
      <c r="H11" s="450"/>
      <c r="I11" s="451" t="s">
        <v>443</v>
      </c>
      <c r="J11" s="450"/>
      <c r="K11" s="200"/>
      <c r="L11" s="201"/>
      <c r="M11" s="8"/>
    </row>
    <row r="12" spans="1:18" ht="23" customHeight="1" thickTop="1" thickBot="1">
      <c r="A12" s="460" t="s">
        <v>421</v>
      </c>
      <c r="B12" s="471" t="s">
        <v>132</v>
      </c>
      <c r="C12" s="100" t="s">
        <v>129</v>
      </c>
      <c r="D12" s="192">
        <f ca="1">ROUND(NORMINV(RAND(),D$3,$B$7),0)</f>
        <v>91</v>
      </c>
      <c r="E12" s="100" t="s">
        <v>351</v>
      </c>
      <c r="F12" s="192">
        <f t="shared" ref="F12:F16" ca="1" si="0">ROUND(NORMINV(RAND(),F$3,$B$7),0)</f>
        <v>81</v>
      </c>
      <c r="G12" s="100" t="s">
        <v>352</v>
      </c>
      <c r="H12" s="202">
        <f t="shared" ref="H12:H16" ca="1" si="1">ROUND(NORMINV(RAND(),H$3,$B$7),0)</f>
        <v>69</v>
      </c>
      <c r="I12" s="100" t="s">
        <v>134</v>
      </c>
      <c r="J12" s="192">
        <f t="shared" ref="J12:J16" ca="1" si="2">ROUND(NORMINV(RAND(),J$3,$B$7),0)</f>
        <v>57</v>
      </c>
      <c r="K12" s="182"/>
      <c r="L12" s="148"/>
      <c r="M12" s="7"/>
      <c r="N12" s="91"/>
    </row>
    <row r="13" spans="1:18" ht="23" customHeight="1" thickBot="1">
      <c r="A13" s="461"/>
      <c r="B13" s="472"/>
      <c r="C13" s="100" t="s">
        <v>135</v>
      </c>
      <c r="D13" s="192">
        <f t="shared" ref="D13:D16" ca="1" si="3">ROUND(NORMINV(RAND(),D$3,$B$7),0)</f>
        <v>89</v>
      </c>
      <c r="E13" s="100" t="s">
        <v>136</v>
      </c>
      <c r="F13" s="192">
        <f t="shared" ca="1" si="0"/>
        <v>78</v>
      </c>
      <c r="G13" s="100" t="s">
        <v>137</v>
      </c>
      <c r="H13" s="192">
        <f t="shared" ca="1" si="1"/>
        <v>68</v>
      </c>
      <c r="I13" s="100" t="s">
        <v>138</v>
      </c>
      <c r="J13" s="192">
        <f t="shared" ca="1" si="2"/>
        <v>67</v>
      </c>
      <c r="K13" s="182"/>
      <c r="L13" s="148"/>
      <c r="M13" s="7"/>
      <c r="N13" s="91"/>
    </row>
    <row r="14" spans="1:18" ht="23" customHeight="1" thickBot="1">
      <c r="A14" s="461"/>
      <c r="B14" s="472"/>
      <c r="C14" s="100" t="s">
        <v>225</v>
      </c>
      <c r="D14" s="192">
        <f t="shared" ca="1" si="3"/>
        <v>87</v>
      </c>
      <c r="E14" s="100" t="s">
        <v>108</v>
      </c>
      <c r="F14" s="192">
        <f t="shared" ca="1" si="0"/>
        <v>84</v>
      </c>
      <c r="G14" s="100" t="s">
        <v>384</v>
      </c>
      <c r="H14" s="192">
        <f t="shared" ca="1" si="1"/>
        <v>66</v>
      </c>
      <c r="I14" s="100" t="s">
        <v>385</v>
      </c>
      <c r="J14" s="192">
        <f t="shared" ca="1" si="2"/>
        <v>67</v>
      </c>
      <c r="K14" s="183"/>
      <c r="L14" s="148"/>
      <c r="M14" s="7"/>
      <c r="N14" s="91"/>
    </row>
    <row r="15" spans="1:18" ht="23" customHeight="1" thickBot="1">
      <c r="A15" s="461"/>
      <c r="B15" s="472"/>
      <c r="C15" s="100" t="s">
        <v>386</v>
      </c>
      <c r="D15" s="192">
        <f t="shared" ca="1" si="3"/>
        <v>89</v>
      </c>
      <c r="E15" s="100" t="s">
        <v>387</v>
      </c>
      <c r="F15" s="192">
        <f t="shared" ca="1" si="0"/>
        <v>79</v>
      </c>
      <c r="G15" s="100" t="s">
        <v>388</v>
      </c>
      <c r="H15" s="192">
        <f t="shared" ca="1" si="1"/>
        <v>64</v>
      </c>
      <c r="I15" s="100" t="s">
        <v>391</v>
      </c>
      <c r="J15" s="192">
        <f t="shared" ca="1" si="2"/>
        <v>69</v>
      </c>
      <c r="K15" s="183"/>
      <c r="L15" s="148"/>
      <c r="M15" s="7"/>
      <c r="N15" s="91"/>
    </row>
    <row r="16" spans="1:18" ht="23" customHeight="1" thickBot="1">
      <c r="A16" s="461"/>
      <c r="B16" s="472"/>
      <c r="C16" s="167" t="s">
        <v>392</v>
      </c>
      <c r="D16" s="193">
        <f t="shared" ca="1" si="3"/>
        <v>89</v>
      </c>
      <c r="E16" s="167" t="s">
        <v>393</v>
      </c>
      <c r="F16" s="193">
        <f t="shared" ca="1" si="0"/>
        <v>77</v>
      </c>
      <c r="G16" s="167" t="s">
        <v>394</v>
      </c>
      <c r="H16" s="193">
        <f t="shared" ca="1" si="1"/>
        <v>69</v>
      </c>
      <c r="I16" s="167" t="s">
        <v>395</v>
      </c>
      <c r="J16" s="193">
        <f t="shared" ca="1" si="2"/>
        <v>68</v>
      </c>
      <c r="K16" s="183"/>
      <c r="L16" s="148"/>
      <c r="M16" s="7"/>
      <c r="N16" s="91"/>
    </row>
    <row r="17" spans="1:16" ht="23" customHeight="1" thickBot="1">
      <c r="A17" s="461"/>
      <c r="B17" s="472"/>
      <c r="C17" s="100" t="s">
        <v>125</v>
      </c>
      <c r="D17" s="194">
        <f ca="1">SUM(D12:D16)</f>
        <v>445</v>
      </c>
      <c r="E17" s="100" t="s">
        <v>126</v>
      </c>
      <c r="F17" s="194">
        <f ca="1">SUM(F12:F16)</f>
        <v>399</v>
      </c>
      <c r="G17" s="100" t="s">
        <v>127</v>
      </c>
      <c r="H17" s="194">
        <f ca="1">SUM(H12:H16)</f>
        <v>336</v>
      </c>
      <c r="I17" s="100" t="s">
        <v>332</v>
      </c>
      <c r="J17" s="194">
        <f ca="1">SUM(J12:J16)</f>
        <v>328</v>
      </c>
      <c r="K17" s="100" t="s">
        <v>333</v>
      </c>
      <c r="L17" s="105">
        <f ca="1">D17+F17+H17+J17</f>
        <v>1508</v>
      </c>
      <c r="M17" s="20"/>
      <c r="N17" s="91"/>
    </row>
    <row r="18" spans="1:16" ht="23" customHeight="1" thickBot="1">
      <c r="A18" s="461"/>
      <c r="B18" s="472"/>
      <c r="C18" s="100" t="s">
        <v>107</v>
      </c>
      <c r="D18" s="195">
        <f ca="1">D17/$G$9</f>
        <v>89</v>
      </c>
      <c r="E18" s="100" t="s">
        <v>381</v>
      </c>
      <c r="F18" s="195">
        <f ca="1">F17/$G$9</f>
        <v>79.8</v>
      </c>
      <c r="G18" s="100" t="s">
        <v>382</v>
      </c>
      <c r="H18" s="195">
        <f ca="1">H17/$G$9</f>
        <v>67.2</v>
      </c>
      <c r="I18" s="100" t="s">
        <v>383</v>
      </c>
      <c r="J18" s="195">
        <f ca="1">J17/$G$9</f>
        <v>65.599999999999994</v>
      </c>
      <c r="K18" s="100" t="s">
        <v>279</v>
      </c>
      <c r="L18" s="185">
        <f ca="1">L17/$K$9</f>
        <v>75.400000000000006</v>
      </c>
      <c r="M18" s="90"/>
      <c r="N18" s="91"/>
    </row>
    <row r="19" spans="1:16" ht="23" customHeight="1" thickBot="1">
      <c r="A19" s="461"/>
      <c r="B19" s="472"/>
      <c r="C19" s="186" t="s">
        <v>68</v>
      </c>
      <c r="D19" s="196">
        <f ca="1">VAR(D12:D16)</f>
        <v>2</v>
      </c>
      <c r="E19" s="128" t="s">
        <v>69</v>
      </c>
      <c r="F19" s="196">
        <f ca="1">VAR(F12:F16)</f>
        <v>7.6999999999998181</v>
      </c>
      <c r="G19" s="128" t="s">
        <v>252</v>
      </c>
      <c r="H19" s="196">
        <f ca="1">VAR(H12:H16)</f>
        <v>4.6999999999998181</v>
      </c>
      <c r="I19" s="128" t="s">
        <v>253</v>
      </c>
      <c r="J19" s="196">
        <f ca="1">VAR(J12:J16)</f>
        <v>23.800000000000182</v>
      </c>
      <c r="K19" s="189"/>
      <c r="L19" s="189"/>
      <c r="M19" s="19"/>
      <c r="N19" s="91"/>
    </row>
    <row r="20" spans="1:16" ht="23" customHeight="1">
      <c r="A20" s="461"/>
      <c r="B20" s="469" t="s">
        <v>131</v>
      </c>
      <c r="C20" s="100" t="s">
        <v>280</v>
      </c>
      <c r="D20" s="192">
        <f ca="1">ROUND(NORMINV(RAND(),D$5,$B$7),0)</f>
        <v>64</v>
      </c>
      <c r="E20" s="100" t="s">
        <v>281</v>
      </c>
      <c r="F20" s="192">
        <f t="shared" ref="F20:F24" ca="1" si="4">ROUND(NORMINV(RAND(),F$5,$B$7),0)</f>
        <v>67</v>
      </c>
      <c r="G20" s="100" t="s">
        <v>462</v>
      </c>
      <c r="H20" s="192">
        <f t="shared" ref="H20:H24" ca="1" si="5">ROUND(NORMINV(RAND(),H$5,$B$7),0)</f>
        <v>60</v>
      </c>
      <c r="I20" s="100" t="s">
        <v>463</v>
      </c>
      <c r="J20" s="192">
        <f t="shared" ref="J20:J24" ca="1" si="6">ROUND(NORMINV(RAND(),J$5,$B$7),0)</f>
        <v>67</v>
      </c>
      <c r="K20" s="183"/>
      <c r="L20" s="148"/>
      <c r="M20" s="9"/>
      <c r="N20" s="91"/>
    </row>
    <row r="21" spans="1:16" ht="23" customHeight="1">
      <c r="A21" s="461"/>
      <c r="B21" s="469"/>
      <c r="C21" s="100" t="s">
        <v>464</v>
      </c>
      <c r="D21" s="192">
        <f t="shared" ref="D21:D24" ca="1" si="7">ROUND(NORMINV(RAND(),D$5,$B$7),0)</f>
        <v>66</v>
      </c>
      <c r="E21" s="100" t="s">
        <v>465</v>
      </c>
      <c r="F21" s="192">
        <f t="shared" ca="1" si="4"/>
        <v>67</v>
      </c>
      <c r="G21" s="100" t="s">
        <v>484</v>
      </c>
      <c r="H21" s="192">
        <f t="shared" ca="1" si="5"/>
        <v>63</v>
      </c>
      <c r="I21" s="100" t="s">
        <v>485</v>
      </c>
      <c r="J21" s="192">
        <f t="shared" ca="1" si="6"/>
        <v>60</v>
      </c>
      <c r="K21" s="184"/>
      <c r="L21" s="148"/>
      <c r="M21" s="14"/>
      <c r="N21" s="91"/>
    </row>
    <row r="22" spans="1:16" ht="23" customHeight="1">
      <c r="A22" s="461"/>
      <c r="B22" s="469"/>
      <c r="C22" s="100" t="s">
        <v>297</v>
      </c>
      <c r="D22" s="192">
        <f t="shared" ca="1" si="7"/>
        <v>64</v>
      </c>
      <c r="E22" s="100" t="s">
        <v>298</v>
      </c>
      <c r="F22" s="192">
        <f t="shared" ca="1" si="4"/>
        <v>63</v>
      </c>
      <c r="G22" s="100" t="s">
        <v>299</v>
      </c>
      <c r="H22" s="192">
        <f t="shared" ca="1" si="5"/>
        <v>64</v>
      </c>
      <c r="I22" s="100" t="s">
        <v>300</v>
      </c>
      <c r="J22" s="192">
        <f t="shared" ca="1" si="6"/>
        <v>60</v>
      </c>
      <c r="K22" s="148"/>
      <c r="L22" s="148"/>
      <c r="M22" s="9"/>
      <c r="N22" s="91"/>
    </row>
    <row r="23" spans="1:16" ht="23" customHeight="1">
      <c r="A23" s="461"/>
      <c r="B23" s="469"/>
      <c r="C23" s="100" t="s">
        <v>301</v>
      </c>
      <c r="D23" s="192">
        <f t="shared" ca="1" si="7"/>
        <v>69</v>
      </c>
      <c r="E23" s="100" t="s">
        <v>491</v>
      </c>
      <c r="F23" s="192">
        <f t="shared" ca="1" si="4"/>
        <v>61</v>
      </c>
      <c r="G23" s="100" t="s">
        <v>165</v>
      </c>
      <c r="H23" s="192">
        <f t="shared" ca="1" si="5"/>
        <v>59</v>
      </c>
      <c r="I23" s="100" t="s">
        <v>166</v>
      </c>
      <c r="J23" s="192">
        <f t="shared" ca="1" si="6"/>
        <v>56</v>
      </c>
      <c r="K23" s="148"/>
      <c r="L23" s="148"/>
      <c r="M23" s="13"/>
      <c r="N23" s="91"/>
    </row>
    <row r="24" spans="1:16" ht="23" customHeight="1">
      <c r="A24" s="461"/>
      <c r="B24" s="469"/>
      <c r="C24" s="167" t="s">
        <v>167</v>
      </c>
      <c r="D24" s="193">
        <f t="shared" ca="1" si="7"/>
        <v>68</v>
      </c>
      <c r="E24" s="167" t="s">
        <v>168</v>
      </c>
      <c r="F24" s="193">
        <f t="shared" ca="1" si="4"/>
        <v>63</v>
      </c>
      <c r="G24" s="167" t="s">
        <v>169</v>
      </c>
      <c r="H24" s="193">
        <f t="shared" ca="1" si="5"/>
        <v>60</v>
      </c>
      <c r="I24" s="167" t="s">
        <v>170</v>
      </c>
      <c r="J24" s="193">
        <f t="shared" ca="1" si="6"/>
        <v>55</v>
      </c>
      <c r="K24" s="148"/>
      <c r="L24" s="148"/>
      <c r="M24" s="9"/>
      <c r="N24" s="91"/>
    </row>
    <row r="25" spans="1:16" ht="23" customHeight="1">
      <c r="A25" s="461"/>
      <c r="B25" s="469"/>
      <c r="C25" s="100" t="s">
        <v>91</v>
      </c>
      <c r="D25" s="194">
        <f ca="1">SUM(D20:D24)</f>
        <v>331</v>
      </c>
      <c r="E25" s="100" t="s">
        <v>148</v>
      </c>
      <c r="F25" s="194">
        <f ca="1">SUM(F20:F24)</f>
        <v>321</v>
      </c>
      <c r="G25" s="100" t="s">
        <v>449</v>
      </c>
      <c r="H25" s="194">
        <f ca="1">SUM(H20:H24)</f>
        <v>306</v>
      </c>
      <c r="I25" s="100" t="s">
        <v>450</v>
      </c>
      <c r="J25" s="194">
        <f ca="1">SUM(J20:J24)</f>
        <v>298</v>
      </c>
      <c r="K25" s="100" t="s">
        <v>451</v>
      </c>
      <c r="L25" s="105">
        <f ca="1">D25+F25+H25+J25</f>
        <v>1256</v>
      </c>
      <c r="M25" s="90"/>
      <c r="N25" s="91"/>
    </row>
    <row r="26" spans="1:16" ht="23" customHeight="1">
      <c r="A26" s="461"/>
      <c r="B26" s="469"/>
      <c r="C26" s="100" t="s">
        <v>92</v>
      </c>
      <c r="D26" s="195">
        <f ca="1">D25/$G$9</f>
        <v>66.2</v>
      </c>
      <c r="E26" s="100" t="s">
        <v>486</v>
      </c>
      <c r="F26" s="195">
        <f ca="1">F25/$G$9</f>
        <v>64.2</v>
      </c>
      <c r="G26" s="100" t="s">
        <v>487</v>
      </c>
      <c r="H26" s="195">
        <f ca="1">H25/$G$9</f>
        <v>61.2</v>
      </c>
      <c r="I26" s="100" t="s">
        <v>488</v>
      </c>
      <c r="J26" s="195">
        <f ca="1">J25/$G$9</f>
        <v>59.6</v>
      </c>
      <c r="K26" s="100" t="s">
        <v>489</v>
      </c>
      <c r="L26" s="185">
        <f ca="1">L25/$K$9</f>
        <v>62.8</v>
      </c>
      <c r="M26" s="90"/>
      <c r="N26" s="91"/>
    </row>
    <row r="27" spans="1:16" ht="23" customHeight="1" thickBot="1">
      <c r="A27" s="462"/>
      <c r="B27" s="470"/>
      <c r="C27" s="197" t="s">
        <v>72</v>
      </c>
      <c r="D27" s="198">
        <f ca="1">VAR(D20:D24)</f>
        <v>5.1999999999998181</v>
      </c>
      <c r="E27" s="190" t="s">
        <v>73</v>
      </c>
      <c r="F27" s="198">
        <f ca="1">VAR(F20:F24)</f>
        <v>7.1999999999998181</v>
      </c>
      <c r="G27" s="190" t="s">
        <v>292</v>
      </c>
      <c r="H27" s="198">
        <f ca="1">VAR(H20:H24)</f>
        <v>4.6999999999998181</v>
      </c>
      <c r="I27" s="190" t="s">
        <v>483</v>
      </c>
      <c r="J27" s="198">
        <f ca="1">VAR(J20:J24)</f>
        <v>22.300000000000182</v>
      </c>
      <c r="K27" s="188"/>
      <c r="L27" s="188"/>
      <c r="M27" s="19"/>
      <c r="N27" s="91"/>
    </row>
    <row r="28" spans="1:16" ht="23" customHeight="1">
      <c r="A28" s="187"/>
      <c r="B28" s="191"/>
      <c r="C28" s="100" t="s">
        <v>490</v>
      </c>
      <c r="D28" s="192">
        <f ca="1">D17+D25</f>
        <v>776</v>
      </c>
      <c r="E28" s="100" t="s">
        <v>452</v>
      </c>
      <c r="F28" s="192">
        <f ca="1">F17+F25</f>
        <v>720</v>
      </c>
      <c r="G28" s="100" t="s">
        <v>453</v>
      </c>
      <c r="H28" s="192">
        <f ca="1">H17+H25</f>
        <v>642</v>
      </c>
      <c r="I28" s="100" t="s">
        <v>411</v>
      </c>
      <c r="J28" s="192">
        <f ca="1">J17+J25</f>
        <v>626</v>
      </c>
      <c r="K28" s="100" t="s">
        <v>378</v>
      </c>
      <c r="L28" s="105">
        <f ca="1">SUM(D12:J16,D20:J24)</f>
        <v>2764</v>
      </c>
      <c r="M28" s="20"/>
    </row>
    <row r="29" spans="1:16" ht="23" customHeight="1">
      <c r="A29" s="187"/>
      <c r="B29" s="191"/>
      <c r="C29" s="100" t="s">
        <v>379</v>
      </c>
      <c r="D29" s="195">
        <f ca="1">D28/$I$9</f>
        <v>77.599999999999994</v>
      </c>
      <c r="E29" s="100" t="s">
        <v>380</v>
      </c>
      <c r="F29" s="195">
        <f ca="1">F28/$I$9</f>
        <v>72</v>
      </c>
      <c r="G29" s="100" t="s">
        <v>119</v>
      </c>
      <c r="H29" s="195">
        <f ca="1">H28/$I$9</f>
        <v>64.2</v>
      </c>
      <c r="I29" s="100" t="s">
        <v>120</v>
      </c>
      <c r="J29" s="195">
        <f ca="1">J28/$I$9</f>
        <v>62.6</v>
      </c>
      <c r="K29" s="100" t="s">
        <v>121</v>
      </c>
      <c r="L29" s="105">
        <f>G9*E9*C9</f>
        <v>40</v>
      </c>
      <c r="M29" s="9"/>
    </row>
    <row r="30" spans="1:16" ht="23" customHeight="1" thickBot="1">
      <c r="A30" s="204"/>
      <c r="B30" s="226"/>
      <c r="C30" s="190"/>
      <c r="D30" s="198"/>
      <c r="E30" s="190"/>
      <c r="F30" s="198"/>
      <c r="G30" s="190"/>
      <c r="H30" s="198"/>
      <c r="I30" s="190"/>
      <c r="J30" s="198"/>
      <c r="K30" s="190" t="s">
        <v>22</v>
      </c>
      <c r="L30" s="227">
        <f ca="1">L28/L29</f>
        <v>69.099999999999994</v>
      </c>
      <c r="M30" s="9"/>
    </row>
    <row r="31" spans="1:16" ht="23" customHeight="1">
      <c r="A31" s="236"/>
      <c r="B31" s="237" t="s">
        <v>122</v>
      </c>
      <c r="C31" s="238">
        <f ca="1">SUMSQ(D12:J16,D20:J24)-SUMSQ(D17:J17,D25:J25)/G9</f>
        <v>310.39999999999418</v>
      </c>
      <c r="D31" s="239"/>
      <c r="E31" s="240" t="s">
        <v>190</v>
      </c>
      <c r="F31" s="236"/>
      <c r="G31" s="240"/>
      <c r="H31" s="241"/>
      <c r="I31" s="240"/>
      <c r="J31" s="241"/>
      <c r="K31" s="237"/>
      <c r="L31" s="242"/>
      <c r="M31" s="9"/>
      <c r="P31" s="11"/>
    </row>
    <row r="32" spans="1:16" ht="23" customHeight="1">
      <c r="A32" s="236"/>
      <c r="B32" s="243" t="s">
        <v>67</v>
      </c>
      <c r="C32" s="244">
        <f>C9*E9*(G9-1)</f>
        <v>32</v>
      </c>
      <c r="D32" s="245"/>
      <c r="E32" s="248" t="s">
        <v>36</v>
      </c>
      <c r="F32" s="246" t="s">
        <v>37</v>
      </c>
      <c r="G32" s="248" t="s">
        <v>326</v>
      </c>
      <c r="H32" s="246" t="s">
        <v>327</v>
      </c>
      <c r="I32" s="248" t="s">
        <v>328</v>
      </c>
      <c r="J32" s="246" t="s">
        <v>425</v>
      </c>
      <c r="K32" s="258" t="s">
        <v>82</v>
      </c>
      <c r="L32" s="241"/>
      <c r="M32" s="9"/>
      <c r="N32" s="88"/>
    </row>
    <row r="33" spans="1:14" ht="23" customHeight="1">
      <c r="A33" s="236"/>
      <c r="B33" s="237" t="s">
        <v>366</v>
      </c>
      <c r="C33" s="240">
        <f ca="1">(C31/C32)</f>
        <v>9.6999999999998181</v>
      </c>
      <c r="D33" s="240"/>
      <c r="E33" s="241" t="s">
        <v>240</v>
      </c>
      <c r="F33" s="261">
        <f>C9*E9-1</f>
        <v>7</v>
      </c>
      <c r="G33" s="264">
        <f ca="1">SUMSQ(C17:J17,C25:J25)/G9-L28^2/L29</f>
        <v>3557.2000000000116</v>
      </c>
      <c r="H33" s="241"/>
      <c r="I33" s="241"/>
      <c r="J33" s="241"/>
      <c r="K33" s="241"/>
      <c r="L33" s="241"/>
      <c r="M33" s="10"/>
      <c r="N33" s="89"/>
    </row>
    <row r="34" spans="1:14" ht="23" customHeight="1">
      <c r="A34" s="246"/>
      <c r="B34" s="247" t="s">
        <v>19</v>
      </c>
      <c r="C34" s="248">
        <f ca="1">SQRT(C33)</f>
        <v>3.1144823004794584</v>
      </c>
      <c r="D34" s="241"/>
      <c r="E34" s="237" t="s">
        <v>426</v>
      </c>
      <c r="F34" s="262">
        <f>C9-1</f>
        <v>3</v>
      </c>
      <c r="G34" s="265">
        <f ca="1">SUMSQ(C28:J28)/I9-L28^2/L29</f>
        <v>1469.2000000000116</v>
      </c>
      <c r="H34" s="269">
        <f ca="1">G34/F34</f>
        <v>489.73333333333721</v>
      </c>
      <c r="I34" s="294">
        <f ca="1">H34/$H$37</f>
        <v>50.487972508592414</v>
      </c>
      <c r="J34" s="294">
        <f>FINV($F$8,F34,$F$37)</f>
        <v>2.9011195881551242</v>
      </c>
      <c r="K34" s="473" t="str">
        <f ca="1">IF(I34&gt;J34,"Reject", "Don't reject")</f>
        <v>Reject</v>
      </c>
      <c r="L34" s="473"/>
      <c r="M34" s="13"/>
      <c r="N34" s="89"/>
    </row>
    <row r="35" spans="1:14" ht="23" customHeight="1">
      <c r="A35" s="249"/>
      <c r="B35" s="250" t="s">
        <v>265</v>
      </c>
      <c r="C35" s="251"/>
      <c r="D35" s="252"/>
      <c r="E35" s="252" t="s">
        <v>427</v>
      </c>
      <c r="F35" s="262">
        <f>E9-1</f>
        <v>1</v>
      </c>
      <c r="G35" s="252">
        <f ca="1">SUMSQ(L17,L25)/K9-L28^2/L29</f>
        <v>1587.6000000000058</v>
      </c>
      <c r="H35" s="269">
        <f t="shared" ref="H35:H37" ca="1" si="8">G35/F35</f>
        <v>1587.6000000000058</v>
      </c>
      <c r="I35" s="294">
        <f t="shared" ref="I35:I36" ca="1" si="9">H35/$H$37</f>
        <v>163.67010309278717</v>
      </c>
      <c r="J35" s="294">
        <f>FINV($F$8,F35,$F$37)</f>
        <v>4.1490974088185517</v>
      </c>
      <c r="K35" s="473" t="str">
        <f t="shared" ref="K35:K36" ca="1" si="10">IF(I35&gt;J35,"Reject", "Don't reject")</f>
        <v>Reject</v>
      </c>
      <c r="L35" s="473"/>
      <c r="M35" s="89"/>
      <c r="N35" s="92"/>
    </row>
    <row r="36" spans="1:14" ht="23" customHeight="1">
      <c r="A36" s="236"/>
      <c r="B36" s="237" t="s">
        <v>133</v>
      </c>
      <c r="C36" s="253">
        <f>C32</f>
        <v>32</v>
      </c>
      <c r="D36" s="241"/>
      <c r="E36" s="260" t="s">
        <v>415</v>
      </c>
      <c r="F36" s="262">
        <f>F34*F35</f>
        <v>3</v>
      </c>
      <c r="G36" s="265">
        <f ca="1">G33-(G34+G35)</f>
        <v>500.39999999999418</v>
      </c>
      <c r="H36" s="269">
        <f t="shared" ca="1" si="8"/>
        <v>166.79999999999805</v>
      </c>
      <c r="I36" s="294">
        <f t="shared" ca="1" si="9"/>
        <v>17.195876288659914</v>
      </c>
      <c r="J36" s="294">
        <f>FINV($F$8,F36,$F$37)</f>
        <v>2.9011195881551242</v>
      </c>
      <c r="K36" s="473" t="str">
        <f t="shared" ca="1" si="10"/>
        <v>Reject</v>
      </c>
      <c r="L36" s="473"/>
      <c r="M36" s="89"/>
      <c r="N36" s="178"/>
    </row>
    <row r="37" spans="1:14" ht="23" customHeight="1">
      <c r="A37" s="236"/>
      <c r="B37" s="237" t="s">
        <v>294</v>
      </c>
      <c r="C37" s="254">
        <f>TINV(1-H8,C32)</f>
        <v>2.0369333344070331</v>
      </c>
      <c r="D37" s="241"/>
      <c r="E37" s="259" t="s">
        <v>416</v>
      </c>
      <c r="F37" s="261">
        <f>C9*E9*(G9-1)</f>
        <v>32</v>
      </c>
      <c r="G37" s="267">
        <f ca="1">SUMSQ(C12:J16,C20:J24)-SUMSQ(C17:J17,C25:J25)/G9</f>
        <v>310.39999999999418</v>
      </c>
      <c r="H37" s="266">
        <f t="shared" ca="1" si="8"/>
        <v>9.6999999999998181</v>
      </c>
      <c r="I37" s="259"/>
      <c r="J37" s="241"/>
      <c r="K37" s="241"/>
      <c r="L37" s="241"/>
      <c r="M37" s="89"/>
      <c r="N37" s="93"/>
    </row>
    <row r="38" spans="1:14" ht="23" customHeight="1">
      <c r="A38" s="236"/>
      <c r="B38" s="237" t="s">
        <v>295</v>
      </c>
      <c r="C38" s="255">
        <f ca="1">C34/SQRT(G9)</f>
        <v>1.392838827718399</v>
      </c>
      <c r="D38" s="241"/>
      <c r="E38" s="235" t="s">
        <v>417</v>
      </c>
      <c r="F38" s="263">
        <f>F33+F37</f>
        <v>39</v>
      </c>
      <c r="G38" s="268">
        <f ca="1">G33+G37</f>
        <v>3867.6000000000058</v>
      </c>
      <c r="H38" s="258"/>
      <c r="I38" s="240"/>
      <c r="J38" s="258"/>
      <c r="K38" s="241"/>
      <c r="L38" s="241"/>
      <c r="M38" s="89"/>
      <c r="N38" s="12"/>
    </row>
    <row r="39" spans="1:14" ht="23" customHeight="1">
      <c r="A39" s="236"/>
      <c r="B39" s="256" t="s">
        <v>296</v>
      </c>
      <c r="C39" s="257">
        <f ca="1">C37*C38</f>
        <v>2.8371198376360214</v>
      </c>
      <c r="D39" s="241"/>
      <c r="E39" s="240"/>
      <c r="F39" s="241"/>
      <c r="G39" s="240"/>
      <c r="H39" s="241"/>
      <c r="I39" s="240"/>
      <c r="J39" s="241"/>
      <c r="K39" s="241"/>
      <c r="L39" s="241"/>
      <c r="M39" s="9"/>
      <c r="N39" s="12"/>
    </row>
    <row r="40" spans="1:14" ht="19" customHeight="1">
      <c r="B40" s="10"/>
      <c r="C40" s="10"/>
      <c r="D40" s="10"/>
      <c r="E40" s="10"/>
      <c r="F40" s="21"/>
      <c r="G40" s="234"/>
      <c r="H40" s="10"/>
      <c r="I40" s="10"/>
      <c r="J40" s="10"/>
      <c r="K40" s="10"/>
      <c r="L40" s="10"/>
      <c r="M40" s="9"/>
      <c r="N40" s="16"/>
    </row>
    <row r="41" spans="1:14"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93"/>
    </row>
    <row r="42" spans="1:14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9"/>
      <c r="N42" s="90"/>
    </row>
    <row r="43" spans="1:14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9"/>
      <c r="N43" s="93"/>
    </row>
    <row r="44" spans="1:14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16"/>
    </row>
    <row r="45" spans="1:14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16"/>
    </row>
    <row r="46" spans="1:14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16"/>
    </row>
    <row r="47" spans="1:14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16"/>
    </row>
    <row r="48" spans="1:14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8"/>
    </row>
    <row r="49" spans="2:14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8"/>
    </row>
    <row r="50" spans="2:14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8"/>
    </row>
    <row r="51" spans="2:14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8"/>
    </row>
  </sheetData>
  <mergeCells count="36">
    <mergeCell ref="B12:B19"/>
    <mergeCell ref="K34:L34"/>
    <mergeCell ref="K35:L35"/>
    <mergeCell ref="K36:L36"/>
    <mergeCell ref="K3:K4"/>
    <mergeCell ref="L3:L4"/>
    <mergeCell ref="K5:K6"/>
    <mergeCell ref="L5:L6"/>
    <mergeCell ref="A12:A27"/>
    <mergeCell ref="C1:J1"/>
    <mergeCell ref="B3:B4"/>
    <mergeCell ref="B5:B6"/>
    <mergeCell ref="A3:A6"/>
    <mergeCell ref="C3:C4"/>
    <mergeCell ref="D3:D4"/>
    <mergeCell ref="C5:C6"/>
    <mergeCell ref="D5:D6"/>
    <mergeCell ref="E3:E4"/>
    <mergeCell ref="E5:E6"/>
    <mergeCell ref="F3:F4"/>
    <mergeCell ref="F5:F6"/>
    <mergeCell ref="G3:G4"/>
    <mergeCell ref="B20:B27"/>
    <mergeCell ref="H3:H4"/>
    <mergeCell ref="A1:B2"/>
    <mergeCell ref="C11:D11"/>
    <mergeCell ref="E11:F11"/>
    <mergeCell ref="G11:H11"/>
    <mergeCell ref="I11:J11"/>
    <mergeCell ref="C10:J10"/>
    <mergeCell ref="J3:J4"/>
    <mergeCell ref="J5:J6"/>
    <mergeCell ref="H5:H6"/>
    <mergeCell ref="I3:I4"/>
    <mergeCell ref="I5:I6"/>
    <mergeCell ref="G5:G6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44"/>
  <sheetViews>
    <sheetView zoomScale="110" workbookViewId="0">
      <selection activeCell="E30" sqref="E30"/>
    </sheetView>
  </sheetViews>
  <sheetFormatPr baseColWidth="10" defaultColWidth="13.09765625" defaultRowHeight="19"/>
  <cols>
    <col min="1" max="1" width="11.3984375" style="31" customWidth="1"/>
    <col min="2" max="2" width="10.5" style="31" customWidth="1"/>
    <col min="3" max="3" width="5.8984375" style="31" customWidth="1"/>
    <col min="4" max="4" width="10" style="31" customWidth="1"/>
    <col min="5" max="5" width="12.5" style="31" customWidth="1"/>
    <col min="6" max="6" width="6.3984375" style="31" customWidth="1"/>
    <col min="7" max="7" width="4.19921875" style="31" customWidth="1"/>
    <col min="8" max="8" width="13.5" style="31" customWidth="1"/>
    <col min="9" max="9" width="9.59765625" style="31" customWidth="1"/>
    <col min="10" max="10" width="8.09765625" style="31" customWidth="1"/>
    <col min="11" max="12" width="6" style="31" customWidth="1"/>
    <col min="13" max="15" width="7.3984375" style="31" customWidth="1"/>
    <col min="16" max="16" width="8.296875" style="31" customWidth="1"/>
    <col min="17" max="16384" width="13.09765625" style="31"/>
  </cols>
  <sheetData>
    <row r="1" spans="1:10" s="33" customFormat="1">
      <c r="A1" s="342" t="s">
        <v>34</v>
      </c>
      <c r="B1" s="302" t="s">
        <v>219</v>
      </c>
      <c r="C1" s="282"/>
      <c r="D1" s="344" t="s">
        <v>304</v>
      </c>
      <c r="E1" s="302"/>
      <c r="F1" s="282"/>
      <c r="H1" s="426" t="s">
        <v>365</v>
      </c>
      <c r="I1" s="426"/>
      <c r="J1" s="426"/>
    </row>
    <row r="2" spans="1:10" s="33" customFormat="1" ht="25" customHeight="1">
      <c r="A2" s="343">
        <v>0.05</v>
      </c>
      <c r="B2" s="345">
        <v>0.95</v>
      </c>
      <c r="C2" s="282"/>
      <c r="D2" s="344" t="s">
        <v>248</v>
      </c>
      <c r="E2" s="344" t="s">
        <v>249</v>
      </c>
      <c r="F2" s="282"/>
      <c r="H2" s="297" t="s">
        <v>356</v>
      </c>
      <c r="I2" s="298" t="s">
        <v>357</v>
      </c>
      <c r="J2" s="161" t="s">
        <v>325</v>
      </c>
    </row>
    <row r="3" spans="1:10" s="33" customFormat="1" ht="25">
      <c r="A3" s="66" t="s">
        <v>61</v>
      </c>
      <c r="B3" s="67"/>
      <c r="C3" s="67"/>
      <c r="D3" s="67"/>
      <c r="E3" s="67"/>
      <c r="F3" s="67"/>
      <c r="G3" s="30"/>
      <c r="H3" s="170">
        <f>B5</f>
        <v>99.5</v>
      </c>
      <c r="I3" s="171">
        <f ca="1">B19</f>
        <v>99.3</v>
      </c>
      <c r="J3" s="223">
        <f ca="1">I11</f>
        <v>0.86699630403809402</v>
      </c>
    </row>
    <row r="4" spans="1:10" ht="27" customHeight="1">
      <c r="A4" s="68" t="s">
        <v>62</v>
      </c>
      <c r="B4" s="67">
        <v>98.6</v>
      </c>
      <c r="C4" s="69" t="s">
        <v>87</v>
      </c>
      <c r="D4" s="67"/>
      <c r="E4" s="67"/>
      <c r="F4" s="67"/>
      <c r="G4" s="30"/>
    </row>
    <row r="5" spans="1:10" ht="27" customHeight="1">
      <c r="A5" s="68" t="s">
        <v>241</v>
      </c>
      <c r="B5" s="67">
        <v>99.5</v>
      </c>
      <c r="C5" s="69" t="s">
        <v>88</v>
      </c>
      <c r="D5" s="67"/>
      <c r="E5" s="67"/>
      <c r="F5" s="67"/>
      <c r="G5" s="30"/>
    </row>
    <row r="6" spans="1:10" ht="27" customHeight="1" thickBot="1">
      <c r="A6" s="284" t="s">
        <v>89</v>
      </c>
      <c r="B6" s="285">
        <v>1</v>
      </c>
      <c r="C6" s="286" t="s">
        <v>317</v>
      </c>
      <c r="D6" s="285"/>
      <c r="E6" s="285"/>
      <c r="F6" s="285"/>
      <c r="G6" s="30"/>
    </row>
    <row r="7" spans="1:10" s="30" customFormat="1" ht="32" customHeight="1" thickTop="1">
      <c r="A7" s="70" t="s">
        <v>215</v>
      </c>
      <c r="B7" s="71"/>
    </row>
    <row r="8" spans="1:10" s="33" customFormat="1">
      <c r="A8" s="222" t="s">
        <v>60</v>
      </c>
      <c r="B8" s="222" t="s">
        <v>216</v>
      </c>
      <c r="D8" s="118" t="s">
        <v>33</v>
      </c>
      <c r="E8" s="116"/>
      <c r="F8" s="25"/>
      <c r="H8" s="118" t="s">
        <v>164</v>
      </c>
      <c r="I8" s="116"/>
      <c r="J8" s="116"/>
    </row>
    <row r="9" spans="1:10" s="30" customFormat="1" ht="31" customHeight="1">
      <c r="A9" s="72">
        <v>1</v>
      </c>
      <c r="B9" s="73">
        <f t="shared" ref="B9:B18" ca="1" si="0">ROUND(NORMINV(RAND(),$B$5,$B$6),1)</f>
        <v>100.3</v>
      </c>
      <c r="D9" s="56" t="s">
        <v>42</v>
      </c>
      <c r="E9" s="134">
        <f ca="1">(B19-B4)/B28</f>
        <v>1.8264322504562116</v>
      </c>
      <c r="F9" s="135"/>
      <c r="H9" s="41" t="s">
        <v>278</v>
      </c>
      <c r="I9" s="57">
        <f ca="1">B28</f>
        <v>0.3832608627148118</v>
      </c>
      <c r="J9" s="116"/>
    </row>
    <row r="10" spans="1:10" ht="30" customHeight="1">
      <c r="A10" s="72">
        <v>2</v>
      </c>
      <c r="B10" s="73">
        <f t="shared" ca="1" si="0"/>
        <v>100.4</v>
      </c>
      <c r="C10" s="3"/>
      <c r="D10" s="56" t="s">
        <v>41</v>
      </c>
      <c r="E10" s="134">
        <f ca="1">TINV(A2*2,B24)</f>
        <v>1.83311292255007</v>
      </c>
      <c r="F10" s="25"/>
      <c r="H10" s="56" t="s">
        <v>214</v>
      </c>
      <c r="I10" s="134">
        <f ca="1">TINV(1-B2,B24)</f>
        <v>2.262157158173582</v>
      </c>
      <c r="J10" s="116"/>
    </row>
    <row r="11" spans="1:10" ht="30" customHeight="1">
      <c r="A11" s="72">
        <v>3</v>
      </c>
      <c r="B11" s="73">
        <f t="shared" ca="1" si="0"/>
        <v>99.8</v>
      </c>
      <c r="C11" s="3"/>
      <c r="D11" s="59" t="s">
        <v>211</v>
      </c>
      <c r="E11" s="60" t="str">
        <f ca="1">IF(E9&gt;E10,"Reject", "Don't reject")</f>
        <v>Don't reject</v>
      </c>
      <c r="F11" s="25"/>
      <c r="H11" s="59" t="s">
        <v>220</v>
      </c>
      <c r="I11" s="61">
        <f ca="1">I10*B28</f>
        <v>0.86699630403809402</v>
      </c>
      <c r="J11" s="62" t="s">
        <v>217</v>
      </c>
    </row>
    <row r="12" spans="1:10" ht="30" customHeight="1">
      <c r="A12" s="72">
        <v>4</v>
      </c>
      <c r="B12" s="73">
        <f t="shared" ca="1" si="0"/>
        <v>99</v>
      </c>
      <c r="C12" s="6"/>
      <c r="D12" s="55"/>
      <c r="E12" s="55"/>
      <c r="F12" s="25"/>
      <c r="H12" s="56" t="s">
        <v>370</v>
      </c>
      <c r="I12" s="137">
        <f ca="1">B19+I11</f>
        <v>100.16699630403809</v>
      </c>
      <c r="J12" s="296" t="s">
        <v>454</v>
      </c>
    </row>
    <row r="13" spans="1:10" ht="30" customHeight="1">
      <c r="A13" s="72">
        <v>5</v>
      </c>
      <c r="B13" s="73">
        <f t="shared" ca="1" si="0"/>
        <v>99.7</v>
      </c>
      <c r="D13" s="133"/>
      <c r="E13" s="133"/>
      <c r="F13" s="25"/>
      <c r="H13" s="56" t="s">
        <v>455</v>
      </c>
      <c r="I13" s="137">
        <f ca="1">B19-I11</f>
        <v>98.433003695961901</v>
      </c>
      <c r="J13" s="296"/>
    </row>
    <row r="14" spans="1:10" ht="30" customHeight="1">
      <c r="A14" s="72">
        <v>6</v>
      </c>
      <c r="B14" s="73">
        <f t="shared" ca="1" si="0"/>
        <v>99.4</v>
      </c>
      <c r="D14" s="25"/>
      <c r="E14" s="25"/>
      <c r="F14" s="25"/>
      <c r="J14" s="36"/>
    </row>
    <row r="15" spans="1:10" ht="30" customHeight="1">
      <c r="A15" s="72">
        <v>7</v>
      </c>
      <c r="B15" s="73">
        <f t="shared" ca="1" si="0"/>
        <v>97.4</v>
      </c>
    </row>
    <row r="16" spans="1:10" ht="30" customHeight="1">
      <c r="A16" s="72">
        <v>8</v>
      </c>
      <c r="B16" s="73">
        <f t="shared" ca="1" si="0"/>
        <v>100</v>
      </c>
    </row>
    <row r="17" spans="1:15" ht="30" customHeight="1">
      <c r="A17" s="72">
        <v>9</v>
      </c>
      <c r="B17" s="73">
        <f t="shared" ca="1" si="0"/>
        <v>100.1</v>
      </c>
    </row>
    <row r="18" spans="1:15" ht="30" customHeight="1">
      <c r="A18" s="74">
        <v>10</v>
      </c>
      <c r="B18" s="75">
        <f t="shared" ca="1" si="0"/>
        <v>96.9</v>
      </c>
    </row>
    <row r="19" spans="1:15" ht="30" customHeight="1" thickBot="1">
      <c r="A19" s="224" t="s">
        <v>224</v>
      </c>
      <c r="B19" s="225">
        <f ca="1">AVERAGE(B9:B18)</f>
        <v>99.3</v>
      </c>
      <c r="C19" s="67">
        <f>B5</f>
        <v>99.5</v>
      </c>
      <c r="D19" s="77" t="s">
        <v>90</v>
      </c>
      <c r="E19" s="33"/>
    </row>
    <row r="20" spans="1:15" ht="30" customHeight="1">
      <c r="A20" s="39" t="s">
        <v>32</v>
      </c>
      <c r="B20" s="40"/>
      <c r="C20" s="49"/>
      <c r="D20" s="33"/>
      <c r="E20" s="33"/>
    </row>
    <row r="21" spans="1:15" ht="30" customHeight="1">
      <c r="A21" s="41" t="s">
        <v>24</v>
      </c>
      <c r="B21" s="42">
        <f ca="1">SUM(B9:B18)</f>
        <v>993</v>
      </c>
    </row>
    <row r="22" spans="1:15" s="33" customFormat="1" ht="30" customHeight="1">
      <c r="A22" s="41" t="s">
        <v>25</v>
      </c>
      <c r="B22" s="43">
        <f ca="1">COUNT(B9:B18)</f>
        <v>10</v>
      </c>
      <c r="C22" s="31"/>
      <c r="D22" s="31"/>
      <c r="E22" s="31"/>
    </row>
    <row r="23" spans="1:15" ht="27" customHeight="1">
      <c r="A23" s="44" t="s">
        <v>26</v>
      </c>
      <c r="B23" s="45">
        <f ca="1">SUMSQ(B9:B18)-B21^2/B22</f>
        <v>13.220000000001164</v>
      </c>
    </row>
    <row r="24" spans="1:15" ht="27" customHeight="1">
      <c r="A24" s="46" t="s">
        <v>27</v>
      </c>
      <c r="B24" s="47">
        <f ca="1">B22-1</f>
        <v>9</v>
      </c>
      <c r="O24" s="33"/>
    </row>
    <row r="25" spans="1:15" ht="27" customHeight="1">
      <c r="A25" s="41" t="s">
        <v>28</v>
      </c>
      <c r="B25" s="48">
        <f ca="1">B23/B24</f>
        <v>1.4688888888890181</v>
      </c>
    </row>
    <row r="26" spans="1:15" ht="27" customHeight="1">
      <c r="A26" s="41" t="s">
        <v>29</v>
      </c>
      <c r="B26" s="48">
        <f ca="1">SQRT(B25)</f>
        <v>1.2119772641799096</v>
      </c>
      <c r="C26" s="283">
        <f>B6</f>
        <v>1</v>
      </c>
      <c r="D26" s="77" t="s">
        <v>398</v>
      </c>
      <c r="E26" s="33"/>
    </row>
    <row r="27" spans="1:15" ht="27" customHeight="1">
      <c r="A27" s="41" t="s">
        <v>277</v>
      </c>
      <c r="B27" s="48">
        <f ca="1">B25/B22</f>
        <v>0.14688888888890181</v>
      </c>
    </row>
    <row r="28" spans="1:15" ht="27" customHeight="1">
      <c r="A28" s="41" t="s">
        <v>278</v>
      </c>
      <c r="B28" s="48">
        <f ca="1">SQRT(B27)</f>
        <v>0.3832608627148118</v>
      </c>
    </row>
    <row r="29" spans="1:15" ht="27" customHeight="1"/>
    <row r="30" spans="1:15" ht="27" customHeight="1"/>
    <row r="31" spans="1:15" ht="27" customHeight="1">
      <c r="A31" s="6"/>
    </row>
    <row r="32" spans="1:15" s="33" customFormat="1" ht="30" customHeight="1"/>
    <row r="33" spans="1:1" ht="27" customHeight="1"/>
    <row r="34" spans="1:1" ht="27" customHeight="1"/>
    <row r="35" spans="1:1" ht="27" customHeight="1"/>
    <row r="36" spans="1:1" ht="27" customHeight="1"/>
    <row r="37" spans="1:1" ht="27" customHeight="1">
      <c r="A37" s="6"/>
    </row>
    <row r="38" spans="1:1" s="33" customFormat="1" ht="30" customHeight="1"/>
    <row r="39" spans="1:1" ht="27" customHeight="1"/>
    <row r="40" spans="1:1" ht="27" customHeight="1"/>
    <row r="41" spans="1:1" s="33" customFormat="1" ht="27" customHeight="1"/>
    <row r="42" spans="1:1" ht="27" customHeight="1"/>
    <row r="43" spans="1:1" ht="27" customHeight="1"/>
    <row r="44" spans="1:1" ht="27" customHeight="1"/>
  </sheetData>
  <sheetCalcPr fullCalcOnLoad="1"/>
  <mergeCells count="1">
    <mergeCell ref="H1:J1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7"/>
  <sheetViews>
    <sheetView tabSelected="1" topLeftCell="B1" zoomScaleNormal="140" zoomScalePageLayoutView="140" workbookViewId="0">
      <selection activeCell="C7" sqref="C7"/>
    </sheetView>
  </sheetViews>
  <sheetFormatPr baseColWidth="10" defaultColWidth="13.09765625" defaultRowHeight="19"/>
  <cols>
    <col min="1" max="1" width="13.09765625" style="33"/>
    <col min="2" max="5" width="9.3984375" style="17" customWidth="1"/>
    <col min="6" max="6" width="3.69921875" style="17" customWidth="1"/>
    <col min="7" max="7" width="9.69921875" style="17" customWidth="1"/>
    <col min="8" max="8" width="9.796875" style="17" customWidth="1"/>
    <col min="9" max="9" width="3.09765625" style="17" customWidth="1"/>
    <col min="10" max="10" width="12.09765625" style="17" customWidth="1"/>
    <col min="11" max="11" width="9.3984375" style="17" customWidth="1"/>
    <col min="12" max="12" width="6.296875" style="17" customWidth="1"/>
    <col min="13" max="16" width="9.69921875" style="17" customWidth="1"/>
    <col min="17" max="16384" width="13.09765625" style="17"/>
  </cols>
  <sheetData>
    <row r="1" spans="1:12">
      <c r="A1" s="78" t="s">
        <v>458</v>
      </c>
      <c r="B1" s="67"/>
      <c r="C1" s="68" t="s">
        <v>456</v>
      </c>
      <c r="D1" s="69">
        <v>1</v>
      </c>
      <c r="E1" s="67"/>
      <c r="G1" s="94" t="s">
        <v>321</v>
      </c>
      <c r="H1" s="86" t="s">
        <v>354</v>
      </c>
      <c r="I1" s="428" t="s">
        <v>355</v>
      </c>
      <c r="J1" s="428"/>
      <c r="K1" s="154" t="s">
        <v>59</v>
      </c>
    </row>
    <row r="2" spans="1:12">
      <c r="A2" s="287">
        <v>4</v>
      </c>
      <c r="B2" s="67"/>
      <c r="C2" s="427" t="s">
        <v>457</v>
      </c>
      <c r="D2" s="427"/>
      <c r="E2" s="427"/>
      <c r="G2" s="94"/>
      <c r="H2" s="67">
        <f>E3</f>
        <v>3</v>
      </c>
      <c r="I2" s="429">
        <f ca="1">E17</f>
        <v>3.2</v>
      </c>
      <c r="J2" s="429"/>
      <c r="K2" s="40">
        <f ca="1">K7</f>
        <v>1.0556733404810048</v>
      </c>
    </row>
    <row r="3" spans="1:12" ht="27" customHeight="1">
      <c r="A3" s="79"/>
      <c r="B3" s="67"/>
      <c r="C3" s="67">
        <v>10</v>
      </c>
      <c r="D3" s="67">
        <v>13</v>
      </c>
      <c r="E3" s="67">
        <f>D3-C3</f>
        <v>3</v>
      </c>
    </row>
    <row r="4" spans="1:12" s="33" customFormat="1" ht="27" customHeight="1">
      <c r="A4" s="79"/>
      <c r="B4" s="140" t="s">
        <v>34</v>
      </c>
      <c r="C4" s="141">
        <v>0.05</v>
      </c>
      <c r="D4" s="124" t="s">
        <v>219</v>
      </c>
      <c r="E4" s="125">
        <v>0.95</v>
      </c>
      <c r="G4" s="39" t="s">
        <v>33</v>
      </c>
      <c r="H4" s="53"/>
      <c r="I4" s="30"/>
      <c r="J4" s="39" t="s">
        <v>364</v>
      </c>
      <c r="K4" s="54"/>
    </row>
    <row r="5" spans="1:12" s="30" customFormat="1" ht="21" customHeight="1">
      <c r="A5" s="79"/>
      <c r="B5" s="130"/>
      <c r="C5" s="131" t="s">
        <v>262</v>
      </c>
      <c r="D5" s="131" t="s">
        <v>263</v>
      </c>
      <c r="E5" s="131" t="s">
        <v>264</v>
      </c>
      <c r="G5" s="41" t="s">
        <v>363</v>
      </c>
      <c r="H5" s="48">
        <f ca="1">E17/E27</f>
        <v>6.8571428571428585</v>
      </c>
      <c r="I5" s="17"/>
      <c r="J5" s="41" t="s">
        <v>278</v>
      </c>
      <c r="K5" s="169">
        <f ca="1">E27</f>
        <v>0.46666666666666662</v>
      </c>
    </row>
    <row r="6" spans="1:12" s="30" customFormat="1" ht="45" customHeight="1">
      <c r="A6" s="85" t="s">
        <v>115</v>
      </c>
      <c r="B6" s="132" t="s">
        <v>116</v>
      </c>
      <c r="C6" s="132" t="s">
        <v>419</v>
      </c>
      <c r="D6" s="132" t="s">
        <v>189</v>
      </c>
      <c r="E6" s="132" t="s">
        <v>171</v>
      </c>
      <c r="G6" s="41" t="s">
        <v>213</v>
      </c>
      <c r="H6" s="48">
        <f ca="1">TINV(C4*2,E23)</f>
        <v>1.83311292255007</v>
      </c>
      <c r="I6" s="17"/>
      <c r="J6" s="41" t="s">
        <v>214</v>
      </c>
      <c r="K6" s="48">
        <f ca="1">TINV(1-E4,E23)</f>
        <v>2.262157158173582</v>
      </c>
      <c r="L6" s="50"/>
    </row>
    <row r="7" spans="1:12" ht="30" customHeight="1">
      <c r="A7" s="67">
        <f t="shared" ref="A7:A16" ca="1" si="0">NORMINV(RAND(),0,$A$2)</f>
        <v>-7.3076121328232766</v>
      </c>
      <c r="B7" s="72">
        <v>1</v>
      </c>
      <c r="C7" s="72">
        <f t="shared" ref="C7:D16" ca="1" si="1">ROUND(NORMINV(RAND(),C$3,$D$1)+$A7,0)</f>
        <v>4</v>
      </c>
      <c r="D7" s="72">
        <f t="shared" ca="1" si="1"/>
        <v>6</v>
      </c>
      <c r="E7" s="72">
        <f ca="1">D7-C7</f>
        <v>2</v>
      </c>
      <c r="F7" s="3"/>
      <c r="G7" s="58" t="s">
        <v>211</v>
      </c>
      <c r="H7" s="64" t="str">
        <f ca="1">IF(H5&gt;H6,"Reject", "Don'to reject")</f>
        <v>Reject</v>
      </c>
      <c r="J7" s="58" t="s">
        <v>128</v>
      </c>
      <c r="K7" s="63">
        <f ca="1">K6*E27</f>
        <v>1.0556733404810048</v>
      </c>
      <c r="L7" s="35"/>
    </row>
    <row r="8" spans="1:12" ht="30" customHeight="1">
      <c r="A8" s="67">
        <f t="shared" ca="1" si="0"/>
        <v>-0.48168217646051703</v>
      </c>
      <c r="B8" s="72">
        <v>2</v>
      </c>
      <c r="C8" s="72">
        <f t="shared" ca="1" si="1"/>
        <v>9</v>
      </c>
      <c r="D8" s="72">
        <f t="shared" ca="1" si="1"/>
        <v>12</v>
      </c>
      <c r="E8" s="72">
        <f t="shared" ref="E8:E16" ca="1" si="2">D8-C8</f>
        <v>3</v>
      </c>
      <c r="F8" s="3"/>
      <c r="G8" s="55"/>
      <c r="H8" s="55"/>
      <c r="J8" s="41" t="s">
        <v>212</v>
      </c>
      <c r="K8" s="48">
        <f ca="1">E17+K7</f>
        <v>4.255673340481005</v>
      </c>
      <c r="L8" s="35"/>
    </row>
    <row r="9" spans="1:12" ht="30" customHeight="1">
      <c r="A9" s="67">
        <f t="shared" ca="1" si="0"/>
        <v>2.6060480471428109</v>
      </c>
      <c r="B9" s="72">
        <v>3</v>
      </c>
      <c r="C9" s="72">
        <f t="shared" ca="1" si="1"/>
        <v>11</v>
      </c>
      <c r="D9" s="72">
        <f t="shared" ca="1" si="1"/>
        <v>16</v>
      </c>
      <c r="E9" s="72">
        <f t="shared" ca="1" si="2"/>
        <v>5</v>
      </c>
      <c r="F9" s="6"/>
      <c r="G9" s="55"/>
      <c r="H9" s="55"/>
      <c r="J9" s="41" t="s">
        <v>455</v>
      </c>
      <c r="K9" s="48">
        <f ca="1">E17-K7</f>
        <v>2.1443266595189954</v>
      </c>
      <c r="L9" s="35"/>
    </row>
    <row r="10" spans="1:12" ht="30" customHeight="1">
      <c r="A10" s="67">
        <f t="shared" ca="1" si="0"/>
        <v>1.6741600430960291</v>
      </c>
      <c r="B10" s="72">
        <v>4</v>
      </c>
      <c r="C10" s="72">
        <f t="shared" ca="1" si="1"/>
        <v>11</v>
      </c>
      <c r="D10" s="72">
        <f t="shared" ca="1" si="1"/>
        <v>15</v>
      </c>
      <c r="E10" s="72">
        <f t="shared" ca="1" si="2"/>
        <v>4</v>
      </c>
    </row>
    <row r="11" spans="1:12" ht="30" customHeight="1">
      <c r="A11" s="67">
        <f t="shared" ca="1" si="0"/>
        <v>1.4047643069034899</v>
      </c>
      <c r="B11" s="72">
        <v>5</v>
      </c>
      <c r="C11" s="72">
        <f t="shared" ca="1" si="1"/>
        <v>11</v>
      </c>
      <c r="D11" s="72">
        <f t="shared" ca="1" si="1"/>
        <v>14</v>
      </c>
      <c r="E11" s="72">
        <f t="shared" ca="1" si="2"/>
        <v>3</v>
      </c>
    </row>
    <row r="12" spans="1:12" ht="30" customHeight="1">
      <c r="A12" s="67">
        <f t="shared" ca="1" si="0"/>
        <v>2.0001317491316764</v>
      </c>
      <c r="B12" s="72">
        <v>6</v>
      </c>
      <c r="C12" s="72">
        <f t="shared" ca="1" si="1"/>
        <v>11</v>
      </c>
      <c r="D12" s="72">
        <f t="shared" ca="1" si="1"/>
        <v>16</v>
      </c>
      <c r="E12" s="72">
        <f t="shared" ca="1" si="2"/>
        <v>5</v>
      </c>
      <c r="G12" s="136"/>
      <c r="H12" s="136"/>
    </row>
    <row r="13" spans="1:12" ht="30" customHeight="1">
      <c r="A13" s="67">
        <f t="shared" ca="1" si="0"/>
        <v>8.5324296487796103E-2</v>
      </c>
      <c r="B13" s="72">
        <v>7</v>
      </c>
      <c r="C13" s="72">
        <f t="shared" ca="1" si="1"/>
        <v>11</v>
      </c>
      <c r="D13" s="72">
        <f t="shared" ca="1" si="1"/>
        <v>13</v>
      </c>
      <c r="E13" s="72">
        <f t="shared" ca="1" si="2"/>
        <v>2</v>
      </c>
    </row>
    <row r="14" spans="1:12" ht="30" customHeight="1">
      <c r="A14" s="67">
        <f t="shared" ca="1" si="0"/>
        <v>2.4319237701008483</v>
      </c>
      <c r="B14" s="72">
        <v>8</v>
      </c>
      <c r="C14" s="72">
        <f t="shared" ca="1" si="1"/>
        <v>14</v>
      </c>
      <c r="D14" s="72">
        <f t="shared" ca="1" si="1"/>
        <v>16</v>
      </c>
      <c r="E14" s="72">
        <f t="shared" ca="1" si="2"/>
        <v>2</v>
      </c>
    </row>
    <row r="15" spans="1:12" ht="30" customHeight="1">
      <c r="A15" s="67">
        <f t="shared" ca="1" si="0"/>
        <v>8.1476057380504119E-2</v>
      </c>
      <c r="B15" s="72">
        <v>9</v>
      </c>
      <c r="C15" s="72">
        <f t="shared" ca="1" si="1"/>
        <v>9</v>
      </c>
      <c r="D15" s="72">
        <f t="shared" ca="1" si="1"/>
        <v>14</v>
      </c>
      <c r="E15" s="72">
        <f t="shared" ca="1" si="2"/>
        <v>5</v>
      </c>
    </row>
    <row r="16" spans="1:12" ht="30" customHeight="1">
      <c r="A16" s="80">
        <f t="shared" ca="1" si="0"/>
        <v>1.5136469022967094</v>
      </c>
      <c r="B16" s="74">
        <v>10</v>
      </c>
      <c r="C16" s="74">
        <f t="shared" ca="1" si="1"/>
        <v>12</v>
      </c>
      <c r="D16" s="74">
        <f t="shared" ca="1" si="1"/>
        <v>13</v>
      </c>
      <c r="E16" s="74">
        <f t="shared" ca="1" si="2"/>
        <v>1</v>
      </c>
    </row>
    <row r="17" spans="1:5" ht="30" customHeight="1">
      <c r="A17" s="81">
        <f ca="1">AVERAGE(A7:A16)</f>
        <v>0.40081808632560706</v>
      </c>
      <c r="B17" s="71" t="s">
        <v>172</v>
      </c>
      <c r="C17" s="76">
        <f ca="1">AVERAGE(C7:C16)</f>
        <v>10.3</v>
      </c>
      <c r="D17" s="76">
        <f ca="1">AVERAGE(D7:D16)</f>
        <v>13.5</v>
      </c>
      <c r="E17" s="76">
        <f ca="1">AVERAGE(E7:E16)</f>
        <v>3.2</v>
      </c>
    </row>
    <row r="18" spans="1:5" ht="33" customHeight="1">
      <c r="A18" s="82"/>
      <c r="B18" s="71"/>
      <c r="C18" s="83" t="s">
        <v>173</v>
      </c>
      <c r="D18" s="83" t="s">
        <v>293</v>
      </c>
      <c r="E18" s="83" t="s">
        <v>149</v>
      </c>
    </row>
    <row r="19" spans="1:5" ht="23" customHeight="1" thickBot="1">
      <c r="A19" s="288"/>
      <c r="B19" s="190" t="s">
        <v>150</v>
      </c>
      <c r="C19" s="289">
        <f ca="1">STDEV(C7:C16)</f>
        <v>2.6267851073127373</v>
      </c>
      <c r="D19" s="289">
        <f t="shared" ref="D19:E19" ca="1" si="3">STDEV(D7:D16)</f>
        <v>2.9907264074877267</v>
      </c>
      <c r="E19" s="289">
        <f t="shared" ca="1" si="3"/>
        <v>1.4757295747452435</v>
      </c>
    </row>
    <row r="20" spans="1:5" ht="27" customHeight="1" thickTop="1">
      <c r="B20" s="40"/>
      <c r="C20" s="51" t="s">
        <v>48</v>
      </c>
      <c r="D20" s="41" t="s">
        <v>435</v>
      </c>
      <c r="E20" s="43">
        <f ca="1">SUM(E7:E16)</f>
        <v>32</v>
      </c>
    </row>
    <row r="21" spans="1:5" s="33" customFormat="1" ht="30" customHeight="1">
      <c r="B21" s="40"/>
      <c r="C21" s="40"/>
      <c r="D21" s="41" t="s">
        <v>25</v>
      </c>
      <c r="E21" s="43">
        <f ca="1">COUNT(E7:E16)</f>
        <v>10</v>
      </c>
    </row>
    <row r="22" spans="1:5">
      <c r="B22" s="40"/>
      <c r="C22" s="40"/>
      <c r="D22" s="44" t="s">
        <v>26</v>
      </c>
      <c r="E22" s="52">
        <f ca="1">SUMSQ(E7:E16)-E20^2/E21</f>
        <v>19.599999999999994</v>
      </c>
    </row>
    <row r="23" spans="1:5">
      <c r="B23" s="40"/>
      <c r="C23" s="40"/>
      <c r="D23" s="46" t="s">
        <v>27</v>
      </c>
      <c r="E23" s="47">
        <f ca="1">E21-1</f>
        <v>9</v>
      </c>
    </row>
    <row r="24" spans="1:5" ht="20">
      <c r="B24" s="40"/>
      <c r="C24" s="40"/>
      <c r="D24" s="41" t="s">
        <v>28</v>
      </c>
      <c r="E24" s="48">
        <f ca="1">E22/E23</f>
        <v>2.1777777777777771</v>
      </c>
    </row>
    <row r="25" spans="1:5">
      <c r="B25" s="40"/>
      <c r="C25" s="40"/>
      <c r="D25" s="41" t="s">
        <v>29</v>
      </c>
      <c r="E25" s="48">
        <f ca="1">SQRT(E24)</f>
        <v>1.4757295747452435</v>
      </c>
    </row>
    <row r="26" spans="1:5" ht="20">
      <c r="B26" s="40"/>
      <c r="C26" s="40"/>
      <c r="D26" s="41" t="s">
        <v>277</v>
      </c>
      <c r="E26" s="48">
        <f ca="1">E24/E21</f>
        <v>0.21777777777777771</v>
      </c>
    </row>
    <row r="27" spans="1:5">
      <c r="B27" s="40"/>
      <c r="C27" s="40"/>
      <c r="D27" s="41" t="s">
        <v>278</v>
      </c>
      <c r="E27" s="48">
        <f ca="1">SQRT(E26)</f>
        <v>0.46666666666666662</v>
      </c>
    </row>
    <row r="30" spans="1:5" s="33" customFormat="1">
      <c r="D30" s="6"/>
    </row>
    <row r="31" spans="1:5" s="33" customFormat="1" ht="30" customHeight="1"/>
    <row r="36" spans="4:5">
      <c r="D36" s="6"/>
      <c r="E36" s="33"/>
    </row>
    <row r="37" spans="4:5" s="33" customFormat="1" ht="30" customHeight="1"/>
  </sheetData>
  <sheetCalcPr fullCalcOnLoad="1"/>
  <mergeCells count="3">
    <mergeCell ref="C2:E2"/>
    <mergeCell ref="I1:J1"/>
    <mergeCell ref="I2:J2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S48"/>
  <sheetViews>
    <sheetView zoomScale="105" workbookViewId="0">
      <selection activeCell="N22" sqref="N22"/>
    </sheetView>
  </sheetViews>
  <sheetFormatPr baseColWidth="10" defaultColWidth="9.3984375" defaultRowHeight="27" customHeight="1"/>
  <cols>
    <col min="1" max="1" width="2.09765625" style="5" customWidth="1"/>
    <col min="2" max="5" width="9.09765625" style="5" customWidth="1"/>
    <col min="6" max="6" width="2.796875" style="5" customWidth="1"/>
    <col min="7" max="11" width="10.59765625" style="5" customWidth="1"/>
    <col min="12" max="12" width="12.09765625" style="5" customWidth="1"/>
    <col min="13" max="13" width="10.59765625" style="5" customWidth="1"/>
    <col min="14" max="14" width="11.19921875" style="5" customWidth="1"/>
    <col min="15" max="16" width="9" style="5" customWidth="1"/>
    <col min="17" max="17" width="3.59765625" style="5" customWidth="1"/>
    <col min="18" max="20" width="10.69921875" style="5" customWidth="1"/>
    <col min="21" max="21" width="8.3984375" style="5" customWidth="1"/>
    <col min="22" max="16384" width="9.3984375" style="5"/>
  </cols>
  <sheetData>
    <row r="1" spans="2:19" ht="27" customHeight="1">
      <c r="B1" s="95" t="s">
        <v>322</v>
      </c>
      <c r="C1" s="96">
        <f>SQRT('WSD-Incentive'!A2^2+'WSD-Incentive'!D1^2)</f>
        <v>4.1231056256176606</v>
      </c>
      <c r="D1" s="95" t="s">
        <v>322</v>
      </c>
      <c r="E1" s="69">
        <f>C1</f>
        <v>4.1231056256176606</v>
      </c>
      <c r="G1" s="18" t="s">
        <v>140</v>
      </c>
      <c r="H1" s="177" t="s">
        <v>79</v>
      </c>
      <c r="I1" s="219" t="s">
        <v>247</v>
      </c>
      <c r="J1" s="220" t="s">
        <v>93</v>
      </c>
      <c r="K1" s="159" t="s">
        <v>77</v>
      </c>
      <c r="L1" s="64" t="s">
        <v>174</v>
      </c>
    </row>
    <row r="2" spans="2:19" ht="27" customHeight="1">
      <c r="B2" s="95" t="s">
        <v>323</v>
      </c>
      <c r="C2" s="97">
        <v>10</v>
      </c>
      <c r="D2" s="95" t="s">
        <v>422</v>
      </c>
      <c r="E2" s="97">
        <v>13</v>
      </c>
      <c r="G2" s="23"/>
      <c r="H2" s="218">
        <v>1</v>
      </c>
      <c r="I2" s="67">
        <f>C2</f>
        <v>10</v>
      </c>
      <c r="J2" s="71">
        <f ca="1">C14</f>
        <v>9.625</v>
      </c>
      <c r="K2" s="64">
        <f ca="1">H33</f>
        <v>5.3528627810529086</v>
      </c>
      <c r="L2" s="64">
        <f ca="1">K33</f>
        <v>5.5444100005863142</v>
      </c>
    </row>
    <row r="3" spans="2:19" ht="27" customHeight="1">
      <c r="B3" s="122" t="s">
        <v>330</v>
      </c>
      <c r="C3" s="123">
        <v>0.05</v>
      </c>
      <c r="D3" s="124" t="s">
        <v>40</v>
      </c>
      <c r="E3" s="125">
        <v>0.95</v>
      </c>
      <c r="G3" s="23"/>
      <c r="H3" s="218">
        <v>10</v>
      </c>
      <c r="I3" s="67">
        <f>E2</f>
        <v>13</v>
      </c>
      <c r="J3" s="71">
        <f ca="1">E14</f>
        <v>13.875</v>
      </c>
      <c r="K3" s="64">
        <f ca="1">I33</f>
        <v>5.3528627810529086</v>
      </c>
      <c r="L3" s="64">
        <f ca="1">L33</f>
        <v>4.4110927529630475</v>
      </c>
    </row>
    <row r="4" spans="2:19" ht="27" customHeight="1">
      <c r="B4" s="432" t="s">
        <v>423</v>
      </c>
      <c r="C4" s="432"/>
      <c r="D4" s="432"/>
      <c r="E4" s="432"/>
      <c r="R4" s="37"/>
      <c r="S4" s="38"/>
    </row>
    <row r="5" spans="2:19" ht="27" customHeight="1">
      <c r="B5" s="431" t="s">
        <v>145</v>
      </c>
      <c r="C5" s="431"/>
      <c r="D5" s="431" t="s">
        <v>362</v>
      </c>
      <c r="E5" s="431"/>
      <c r="G5" s="117" t="s">
        <v>329</v>
      </c>
      <c r="H5" s="56"/>
      <c r="I5" s="113"/>
      <c r="J5" s="87"/>
      <c r="K5" s="430" t="s">
        <v>139</v>
      </c>
      <c r="L5" s="430"/>
      <c r="N5" s="87"/>
      <c r="Q5" s="87"/>
    </row>
    <row r="6" spans="2:19" ht="27" customHeight="1">
      <c r="B6" s="84" t="s">
        <v>424</v>
      </c>
      <c r="C6" s="72">
        <f ca="1">ROUND(NORMINV(RAND(),C$2,C$1),0)</f>
        <v>15</v>
      </c>
      <c r="D6" s="84" t="s">
        <v>412</v>
      </c>
      <c r="E6" s="72">
        <f ca="1">ROUND(NORMINV(RAND(),E$2,E$1),0)</f>
        <v>21</v>
      </c>
      <c r="G6" s="56"/>
      <c r="H6" s="56" t="s">
        <v>84</v>
      </c>
      <c r="I6" s="113">
        <f ca="1">D15/D27</f>
        <v>1.2041259773332098</v>
      </c>
      <c r="J6" s="87"/>
      <c r="K6" s="56" t="s">
        <v>438</v>
      </c>
      <c r="L6" s="115">
        <f ca="1">D27</f>
        <v>3.5295310291473974</v>
      </c>
      <c r="N6" s="87"/>
      <c r="Q6" s="87"/>
    </row>
    <row r="7" spans="2:19" ht="27" customHeight="1">
      <c r="B7" s="84" t="s">
        <v>413</v>
      </c>
      <c r="C7" s="72">
        <f t="shared" ref="C7:C13" ca="1" si="0">ROUND(NORMINV(RAND(),C$2,C$1),0)</f>
        <v>17</v>
      </c>
      <c r="D7" s="84" t="s">
        <v>414</v>
      </c>
      <c r="E7" s="72">
        <f t="shared" ref="E7:E13" ca="1" si="1">ROUND(NORMINV(RAND(),E$2,E$1),0)</f>
        <v>22</v>
      </c>
      <c r="G7" s="116"/>
      <c r="H7" s="56" t="s">
        <v>85</v>
      </c>
      <c r="I7" s="113">
        <f ca="1">TINV(C3*2,D26)</f>
        <v>1.7613101150619617</v>
      </c>
      <c r="J7" s="87"/>
      <c r="K7" s="56" t="s">
        <v>86</v>
      </c>
      <c r="L7" s="115">
        <f ca="1">H32</f>
        <v>2.1447866812820848</v>
      </c>
      <c r="N7" s="87"/>
      <c r="Q7" s="87"/>
    </row>
    <row r="8" spans="2:19" ht="27" customHeight="1">
      <c r="B8" s="84" t="s">
        <v>260</v>
      </c>
      <c r="C8" s="72">
        <f t="shared" ca="1" si="0"/>
        <v>2</v>
      </c>
      <c r="D8" s="84" t="s">
        <v>261</v>
      </c>
      <c r="E8" s="72">
        <f t="shared" ca="1" si="1"/>
        <v>12</v>
      </c>
      <c r="G8" s="56"/>
      <c r="H8" s="59" t="s">
        <v>211</v>
      </c>
      <c r="I8" s="221" t="str">
        <f ca="1">IF(I6&gt;I7,"Reject", "Don't reject")</f>
        <v>Don't reject</v>
      </c>
      <c r="J8" s="87"/>
      <c r="K8" s="59" t="s">
        <v>372</v>
      </c>
      <c r="L8" s="120">
        <f ca="1">L6*L7</f>
        <v>7.570091142487188</v>
      </c>
      <c r="N8" s="87"/>
      <c r="Q8" s="87"/>
    </row>
    <row r="9" spans="2:19" ht="27" customHeight="1">
      <c r="B9" s="84" t="s">
        <v>218</v>
      </c>
      <c r="C9" s="72">
        <f t="shared" ca="1" si="0"/>
        <v>3</v>
      </c>
      <c r="D9" s="84" t="s">
        <v>418</v>
      </c>
      <c r="E9" s="72">
        <f t="shared" ca="1" si="1"/>
        <v>9</v>
      </c>
      <c r="G9" s="116"/>
      <c r="H9" s="116"/>
      <c r="I9" s="116"/>
      <c r="J9" s="87"/>
      <c r="K9" s="56" t="s">
        <v>436</v>
      </c>
      <c r="L9" s="115">
        <f ca="1">D15+L8</f>
        <v>11.820091142487188</v>
      </c>
      <c r="N9" s="87"/>
      <c r="Q9" s="87"/>
    </row>
    <row r="10" spans="2:19" ht="27" customHeight="1">
      <c r="B10" s="100" t="s">
        <v>432</v>
      </c>
      <c r="C10" s="72">
        <f t="shared" ca="1" si="0"/>
        <v>10</v>
      </c>
      <c r="D10" s="100" t="s">
        <v>433</v>
      </c>
      <c r="E10" s="72">
        <f t="shared" ca="1" si="1"/>
        <v>8</v>
      </c>
      <c r="G10" s="116"/>
      <c r="H10" s="116"/>
      <c r="I10" s="116"/>
      <c r="J10" s="87"/>
      <c r="K10" s="56" t="s">
        <v>437</v>
      </c>
      <c r="L10" s="115">
        <f ca="1">D15-L8</f>
        <v>-3.320091142487188</v>
      </c>
      <c r="N10" s="87"/>
      <c r="Q10" s="87"/>
    </row>
    <row r="11" spans="2:19" ht="27" customHeight="1">
      <c r="B11" s="100" t="s">
        <v>434</v>
      </c>
      <c r="C11" s="72">
        <f t="shared" ca="1" si="0"/>
        <v>15</v>
      </c>
      <c r="D11" s="100" t="s">
        <v>266</v>
      </c>
      <c r="E11" s="72">
        <f t="shared" ca="1" si="1"/>
        <v>11</v>
      </c>
      <c r="J11" s="87"/>
      <c r="N11" s="87"/>
      <c r="Q11" s="87"/>
    </row>
    <row r="12" spans="2:19" ht="27" customHeight="1">
      <c r="B12" s="100" t="s">
        <v>267</v>
      </c>
      <c r="C12" s="72">
        <f t="shared" ca="1" si="0"/>
        <v>1</v>
      </c>
      <c r="D12" s="100" t="s">
        <v>268</v>
      </c>
      <c r="E12" s="72">
        <f t="shared" ca="1" si="1"/>
        <v>12</v>
      </c>
    </row>
    <row r="13" spans="2:19" ht="27" customHeight="1" thickBot="1">
      <c r="B13" s="128" t="s">
        <v>269</v>
      </c>
      <c r="C13" s="129">
        <f t="shared" ca="1" si="0"/>
        <v>14</v>
      </c>
      <c r="D13" s="128" t="s">
        <v>439</v>
      </c>
      <c r="E13" s="129">
        <f t="shared" ca="1" si="1"/>
        <v>16</v>
      </c>
    </row>
    <row r="14" spans="2:19" ht="27" customHeight="1">
      <c r="B14" s="101" t="s">
        <v>117</v>
      </c>
      <c r="C14" s="102">
        <f ca="1">AVERAGE(C6:C13)</f>
        <v>9.625</v>
      </c>
      <c r="D14" s="101" t="s">
        <v>118</v>
      </c>
      <c r="E14" s="102">
        <f ca="1">AVERAGE(E6:E13)</f>
        <v>13.875</v>
      </c>
    </row>
    <row r="15" spans="2:19" ht="27" customHeight="1">
      <c r="B15" s="101"/>
      <c r="C15" s="101" t="s">
        <v>270</v>
      </c>
      <c r="D15" s="103">
        <f ca="1">E14-C14</f>
        <v>4.25</v>
      </c>
      <c r="E15" s="104"/>
    </row>
    <row r="16" spans="2:19" ht="27" customHeight="1">
      <c r="B16" s="41" t="s">
        <v>110</v>
      </c>
      <c r="C16" s="47">
        <f ca="1">COUNT(C6:C13)</f>
        <v>8</v>
      </c>
      <c r="D16" s="40"/>
      <c r="E16" s="47">
        <f ca="1">COUNT(E6:E13)</f>
        <v>8</v>
      </c>
      <c r="F16" s="65"/>
      <c r="G16" s="4"/>
    </row>
    <row r="17" spans="2:12" ht="27" customHeight="1">
      <c r="B17" s="108" t="s">
        <v>70</v>
      </c>
      <c r="C17" s="109">
        <f ca="1">SUM(C6:C13)</f>
        <v>77</v>
      </c>
      <c r="D17" s="108"/>
      <c r="E17" s="109">
        <f ca="1">SUM(E6:E13)</f>
        <v>111</v>
      </c>
    </row>
    <row r="18" spans="2:12" ht="27" customHeight="1">
      <c r="B18" s="44" t="s">
        <v>71</v>
      </c>
      <c r="C18" s="52">
        <f ca="1">SUMSQ(C6:C13)-C17^2/C16</f>
        <v>307.875</v>
      </c>
      <c r="D18" s="52"/>
      <c r="E18" s="52">
        <f ca="1">SUMSQ(E6:E13)-E17^2/E16</f>
        <v>194.875</v>
      </c>
    </row>
    <row r="19" spans="2:12" ht="27" customHeight="1">
      <c r="B19" s="41" t="s">
        <v>389</v>
      </c>
      <c r="C19" s="47">
        <f ca="1">C16-1</f>
        <v>7</v>
      </c>
      <c r="D19" s="40"/>
      <c r="E19" s="47">
        <f ca="1">E16-1</f>
        <v>7</v>
      </c>
    </row>
    <row r="20" spans="2:12" ht="27" customHeight="1">
      <c r="B20" s="41" t="s">
        <v>390</v>
      </c>
      <c r="C20" s="45">
        <f ca="1">C18/C19</f>
        <v>43.982142857142854</v>
      </c>
      <c r="D20" s="45"/>
      <c r="E20" s="45">
        <f ca="1">E18/E19</f>
        <v>27.839285714285715</v>
      </c>
    </row>
    <row r="21" spans="2:12" ht="27" customHeight="1">
      <c r="B21" s="41" t="s">
        <v>397</v>
      </c>
      <c r="C21" s="45">
        <f ca="1">C19/(C$19+E$19)</f>
        <v>0.5</v>
      </c>
      <c r="D21" s="45"/>
      <c r="E21" s="45">
        <f ca="1">E19/(E$19+G$19)</f>
        <v>1</v>
      </c>
    </row>
    <row r="22" spans="2:12" ht="27" customHeight="1">
      <c r="B22" s="41" t="s">
        <v>176</v>
      </c>
      <c r="C22" s="45">
        <f ca="1">SQRT(C20)</f>
        <v>6.6319034113249007</v>
      </c>
      <c r="D22" s="45"/>
      <c r="E22" s="45">
        <f ca="1">SQRT(E20)</f>
        <v>5.2762946955496828</v>
      </c>
    </row>
    <row r="23" spans="2:12" ht="27" customHeight="1">
      <c r="B23" s="41" t="s">
        <v>177</v>
      </c>
      <c r="C23" s="45">
        <f ca="1">C20/C16</f>
        <v>5.4977678571428568</v>
      </c>
      <c r="D23" s="45"/>
      <c r="E23" s="45">
        <f ca="1">E20/E16</f>
        <v>3.4799107142857144</v>
      </c>
    </row>
    <row r="24" spans="2:12" ht="27" customHeight="1">
      <c r="B24" s="41" t="s">
        <v>178</v>
      </c>
      <c r="C24" s="45">
        <f ca="1">SQRT(C23)</f>
        <v>2.3447319371610171</v>
      </c>
      <c r="D24" s="45"/>
      <c r="E24" s="45">
        <f ca="1">SQRT(E23)</f>
        <v>1.8654518793808954</v>
      </c>
    </row>
    <row r="25" spans="2:12" ht="27" customHeight="1">
      <c r="B25" s="41"/>
      <c r="C25" s="41" t="s">
        <v>11</v>
      </c>
      <c r="D25" s="110">
        <f ca="1">SUMPRODUCT(C20:E20,C21:E21)</f>
        <v>49.830357142857139</v>
      </c>
      <c r="E25" s="110"/>
    </row>
    <row r="26" spans="2:12" ht="27" customHeight="1">
      <c r="B26" s="41"/>
      <c r="C26" s="41" t="s">
        <v>375</v>
      </c>
      <c r="D26" s="111">
        <f ca="1">C19+E19</f>
        <v>14</v>
      </c>
      <c r="E26" s="112"/>
    </row>
    <row r="27" spans="2:12" ht="27" customHeight="1">
      <c r="B27" s="41"/>
      <c r="C27" s="41" t="s">
        <v>146</v>
      </c>
      <c r="D27" s="110">
        <f ca="1">SQRT(D25/C16+D25/E16)</f>
        <v>3.5295310291473974</v>
      </c>
      <c r="E27" s="112"/>
    </row>
    <row r="28" spans="2:12" ht="27" customHeight="1">
      <c r="E28" s="26"/>
    </row>
    <row r="29" spans="2:12" ht="27" customHeight="1">
      <c r="E29" s="26"/>
      <c r="G29" s="433" t="s">
        <v>476</v>
      </c>
      <c r="H29" s="433"/>
      <c r="I29" s="117"/>
      <c r="J29" s="117" t="s">
        <v>159</v>
      </c>
      <c r="K29" s="117"/>
      <c r="L29" s="117"/>
    </row>
    <row r="30" spans="2:12" ht="27" customHeight="1">
      <c r="E30" s="26"/>
      <c r="G30" s="107"/>
      <c r="H30" s="107"/>
      <c r="I30" s="116"/>
      <c r="J30" s="56" t="s">
        <v>160</v>
      </c>
      <c r="K30" s="115">
        <f ca="1">C22</f>
        <v>6.6319034113249007</v>
      </c>
      <c r="L30" s="115">
        <f ca="1">E22</f>
        <v>5.2762946955496828</v>
      </c>
    </row>
    <row r="31" spans="2:12" ht="27" customHeight="1">
      <c r="E31" s="26"/>
      <c r="G31" s="56" t="s">
        <v>187</v>
      </c>
      <c r="H31" s="115">
        <f ca="1">SQRT($D$25/C$16)</f>
        <v>2.4957553251184583</v>
      </c>
      <c r="I31" s="115">
        <f ca="1">SQRT($D$25/E$16)</f>
        <v>2.4957553251184583</v>
      </c>
      <c r="J31" s="56" t="s">
        <v>161</v>
      </c>
      <c r="K31" s="115">
        <f ca="1">K30/SQRT(C$16)</f>
        <v>2.3447319371610171</v>
      </c>
      <c r="L31" s="115">
        <f ca="1">L30/SQRT(E$16)</f>
        <v>1.8654518793808954</v>
      </c>
    </row>
    <row r="32" spans="2:12" ht="27" customHeight="1">
      <c r="B32" s="2"/>
      <c r="C32" s="2"/>
      <c r="D32" s="29"/>
      <c r="E32" s="26"/>
      <c r="G32" s="56" t="s">
        <v>86</v>
      </c>
      <c r="H32" s="115">
        <f ca="1">TINV(1-$E$3,$D$26)</f>
        <v>2.1447866812820848</v>
      </c>
      <c r="I32" s="115">
        <f ca="1">TINV(1-$E$3,$D$26)</f>
        <v>2.1447866812820848</v>
      </c>
      <c r="J32" s="56" t="s">
        <v>86</v>
      </c>
      <c r="K32" s="115">
        <f ca="1">TINV(1-$E$3,C19)</f>
        <v>2.3646242509493183</v>
      </c>
      <c r="L32" s="115">
        <f ca="1">TINV(1-$E$3,E19)</f>
        <v>2.3646242509493183</v>
      </c>
    </row>
    <row r="33" spans="2:12" ht="27" customHeight="1">
      <c r="E33" s="26"/>
      <c r="G33" s="59" t="s">
        <v>372</v>
      </c>
      <c r="H33" s="120">
        <f ca="1">H31*H32</f>
        <v>5.3528627810529086</v>
      </c>
      <c r="I33" s="120">
        <f ca="1">I31*I32</f>
        <v>5.3528627810529086</v>
      </c>
      <c r="J33" s="59" t="s">
        <v>162</v>
      </c>
      <c r="K33" s="121">
        <f ca="1">K31*K32</f>
        <v>5.5444100005863142</v>
      </c>
      <c r="L33" s="121">
        <f ca="1">L31*L32</f>
        <v>4.4110927529630475</v>
      </c>
    </row>
    <row r="34" spans="2:12" ht="27" customHeight="1">
      <c r="B34" s="2"/>
      <c r="C34" s="26"/>
      <c r="E34" s="26"/>
      <c r="G34" s="56" t="s">
        <v>436</v>
      </c>
      <c r="H34" s="115">
        <f ca="1">C14+H33</f>
        <v>14.977862781052909</v>
      </c>
      <c r="I34" s="115">
        <f ca="1">E14+I33</f>
        <v>19.227862781052909</v>
      </c>
      <c r="J34" s="56" t="s">
        <v>436</v>
      </c>
      <c r="K34" s="119">
        <f ca="1">C14+K33</f>
        <v>15.169410000586314</v>
      </c>
      <c r="L34" s="119">
        <f ca="1">E14+L33</f>
        <v>18.286092752963047</v>
      </c>
    </row>
    <row r="35" spans="2:12" ht="27" customHeight="1">
      <c r="G35" s="56" t="s">
        <v>437</v>
      </c>
      <c r="H35" s="115">
        <f ca="1">C14-H33</f>
        <v>4.2721372189470914</v>
      </c>
      <c r="I35" s="115">
        <f ca="1">E14-I33</f>
        <v>8.5221372189470905</v>
      </c>
      <c r="J35" s="56" t="s">
        <v>437</v>
      </c>
      <c r="K35" s="119">
        <f ca="1">C14-K33</f>
        <v>4.0805899994136858</v>
      </c>
      <c r="L35" s="119">
        <f ca="1">E14-L33</f>
        <v>9.4639072470369534</v>
      </c>
    </row>
    <row r="41" spans="2:12" ht="27" customHeight="1">
      <c r="B41" s="15"/>
      <c r="C41" s="24"/>
      <c r="D41" s="27"/>
      <c r="E41" s="24"/>
    </row>
    <row r="42" spans="2:12" ht="27" customHeight="1">
      <c r="B42" s="15"/>
      <c r="E42" s="24"/>
    </row>
    <row r="43" spans="2:12" ht="27" customHeight="1">
      <c r="B43" s="15"/>
      <c r="E43" s="24"/>
    </row>
    <row r="44" spans="2:12" ht="27" customHeight="1">
      <c r="B44" s="15"/>
      <c r="E44" s="24"/>
    </row>
    <row r="45" spans="2:12" ht="27" customHeight="1">
      <c r="B45" s="15"/>
      <c r="E45" s="24"/>
    </row>
    <row r="46" spans="2:12" ht="27" customHeight="1">
      <c r="B46" s="15"/>
      <c r="E46" s="24"/>
    </row>
    <row r="47" spans="2:12" ht="27" customHeight="1">
      <c r="B47" s="15"/>
      <c r="E47" s="24"/>
    </row>
    <row r="48" spans="2:12" ht="27" customHeight="1">
      <c r="B48" s="15"/>
      <c r="C48" s="24"/>
      <c r="D48" s="27"/>
      <c r="E48" s="24"/>
    </row>
  </sheetData>
  <sheetCalcPr fullCalcOnLoad="1"/>
  <mergeCells count="5">
    <mergeCell ref="K5:L5"/>
    <mergeCell ref="B5:C5"/>
    <mergeCell ref="D5:E5"/>
    <mergeCell ref="B4:E4"/>
    <mergeCell ref="G29:H29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Q50"/>
  <sheetViews>
    <sheetView workbookViewId="0">
      <selection activeCell="C3" sqref="C3"/>
    </sheetView>
  </sheetViews>
  <sheetFormatPr baseColWidth="10" defaultColWidth="9.3984375" defaultRowHeight="27" customHeight="1"/>
  <cols>
    <col min="1" max="1" width="2.09765625" style="5" customWidth="1"/>
    <col min="2" max="5" width="9.09765625" style="5" customWidth="1"/>
    <col min="6" max="6" width="2.796875" style="5" customWidth="1"/>
    <col min="7" max="13" width="10.69921875" style="5" customWidth="1"/>
    <col min="14" max="14" width="3.796875" style="5" customWidth="1"/>
    <col min="15" max="16" width="9" style="5" customWidth="1"/>
    <col min="17" max="17" width="3.59765625" style="5" customWidth="1"/>
    <col min="18" max="20" width="10.69921875" style="5" customWidth="1"/>
    <col min="21" max="21" width="8.3984375" style="5" customWidth="1"/>
    <col min="22" max="16384" width="9.3984375" style="5"/>
  </cols>
  <sheetData>
    <row r="1" spans="2:17" ht="27" customHeight="1">
      <c r="B1" s="95" t="s">
        <v>323</v>
      </c>
      <c r="C1" s="97">
        <v>9</v>
      </c>
      <c r="D1" s="95" t="s">
        <v>422</v>
      </c>
      <c r="E1" s="97">
        <v>12</v>
      </c>
      <c r="G1" s="216" t="s">
        <v>76</v>
      </c>
      <c r="H1" s="217" t="s">
        <v>186</v>
      </c>
      <c r="I1" s="206" t="s">
        <v>247</v>
      </c>
      <c r="J1" s="207" t="s">
        <v>93</v>
      </c>
      <c r="K1" s="161" t="s">
        <v>77</v>
      </c>
      <c r="L1" s="161" t="s">
        <v>78</v>
      </c>
    </row>
    <row r="2" spans="2:17" ht="27" customHeight="1">
      <c r="B2" s="95" t="s">
        <v>322</v>
      </c>
      <c r="C2" s="96">
        <v>4</v>
      </c>
      <c r="D2" s="95" t="s">
        <v>322</v>
      </c>
      <c r="E2" s="69">
        <f>C2</f>
        <v>4</v>
      </c>
      <c r="G2" s="212"/>
      <c r="H2" s="213" t="s">
        <v>74</v>
      </c>
      <c r="I2" s="214">
        <f>C1</f>
        <v>9</v>
      </c>
      <c r="J2" s="215">
        <f ca="1">C16</f>
        <v>7.625</v>
      </c>
      <c r="K2" s="64">
        <f ca="1">H34</f>
        <v>2.7359989053895624</v>
      </c>
      <c r="L2" s="64">
        <f ca="1">L34</f>
        <v>3.0287735349339697</v>
      </c>
    </row>
    <row r="3" spans="2:17" ht="27" customHeight="1">
      <c r="B3" s="122" t="s">
        <v>330</v>
      </c>
      <c r="C3" s="123">
        <v>0.05</v>
      </c>
      <c r="D3" s="124" t="s">
        <v>39</v>
      </c>
      <c r="E3" s="125">
        <v>0.95</v>
      </c>
      <c r="G3" s="212"/>
      <c r="H3" s="213" t="s">
        <v>75</v>
      </c>
      <c r="I3" s="214">
        <f>E1</f>
        <v>12</v>
      </c>
      <c r="J3" s="215">
        <f ca="1">E16</f>
        <v>13.75</v>
      </c>
      <c r="K3" s="64">
        <f ca="1">I34</f>
        <v>3.8692867586398618</v>
      </c>
      <c r="L3" s="64">
        <f ca="1">M34</f>
        <v>4.9259430476160615</v>
      </c>
    </row>
    <row r="4" spans="2:17" ht="27" customHeight="1">
      <c r="B4" s="432" t="s">
        <v>359</v>
      </c>
      <c r="C4" s="432"/>
      <c r="D4" s="432"/>
      <c r="E4" s="432"/>
    </row>
    <row r="5" spans="2:17" ht="27" customHeight="1">
      <c r="B5" s="431" t="s">
        <v>360</v>
      </c>
      <c r="C5" s="431"/>
      <c r="D5" s="431" t="s">
        <v>144</v>
      </c>
      <c r="E5" s="431"/>
      <c r="G5" s="117" t="s">
        <v>163</v>
      </c>
      <c r="H5" s="56"/>
      <c r="I5" s="113"/>
      <c r="J5" s="87"/>
      <c r="K5" s="430" t="s">
        <v>141</v>
      </c>
      <c r="L5" s="430"/>
      <c r="N5" s="87"/>
      <c r="Q5" s="87"/>
    </row>
    <row r="6" spans="2:17" ht="27" customHeight="1">
      <c r="B6" s="84" t="s">
        <v>271</v>
      </c>
      <c r="C6" s="72">
        <f t="shared" ref="C6:C13" ca="1" si="0">ROUND(NORMINV(RAND(),C$1,C$2),0)</f>
        <v>4</v>
      </c>
      <c r="D6" s="84" t="s">
        <v>440</v>
      </c>
      <c r="E6" s="72">
        <f ca="1">ROUND(NORMINV(RAND(),E$1,E$2),0)</f>
        <v>14</v>
      </c>
      <c r="G6" s="116"/>
      <c r="H6" s="56" t="s">
        <v>420</v>
      </c>
      <c r="I6" s="113">
        <f ca="1">D17/D28</f>
        <v>2.8798627869827436</v>
      </c>
      <c r="J6" s="87"/>
      <c r="K6" s="56" t="s">
        <v>83</v>
      </c>
      <c r="L6" s="115">
        <f ca="1">D28</f>
        <v>2.1268374408966944</v>
      </c>
      <c r="N6" s="87"/>
      <c r="Q6" s="87"/>
    </row>
    <row r="7" spans="2:17" ht="27" customHeight="1">
      <c r="B7" s="84" t="s">
        <v>441</v>
      </c>
      <c r="C7" s="72">
        <f t="shared" ca="1" si="0"/>
        <v>15</v>
      </c>
      <c r="D7" s="84" t="s">
        <v>272</v>
      </c>
      <c r="E7" s="72">
        <f ca="1">ROUND(NORMINV(RAND(),E$1,E$2),0)</f>
        <v>11</v>
      </c>
      <c r="G7" s="56"/>
      <c r="H7" s="56" t="s">
        <v>399</v>
      </c>
      <c r="I7" s="113">
        <f ca="1">TINV(C3*2,D27)</f>
        <v>1.8124611021972235</v>
      </c>
      <c r="J7" s="87"/>
      <c r="K7" s="56" t="s">
        <v>473</v>
      </c>
      <c r="L7" s="115">
        <f ca="1">H33</f>
        <v>2.2281388424258681</v>
      </c>
      <c r="N7" s="87"/>
      <c r="Q7" s="87"/>
    </row>
    <row r="8" spans="2:17" ht="27" customHeight="1">
      <c r="B8" s="84" t="s">
        <v>273</v>
      </c>
      <c r="C8" s="72">
        <f t="shared" ca="1" si="0"/>
        <v>5</v>
      </c>
      <c r="D8" s="84" t="s">
        <v>274</v>
      </c>
      <c r="E8" s="72">
        <f ca="1">ROUND(NORMINV(RAND(),E$1,E$2),0)</f>
        <v>12</v>
      </c>
      <c r="G8" s="116"/>
      <c r="H8" s="59" t="s">
        <v>211</v>
      </c>
      <c r="I8" s="221" t="str">
        <f ca="1">IF(I6&gt;I7,"Reject", "Fail to reject")</f>
        <v>Reject</v>
      </c>
      <c r="J8" s="87"/>
      <c r="K8" s="59" t="s">
        <v>372</v>
      </c>
      <c r="L8" s="120">
        <f ca="1">L6*L7</f>
        <v>4.7388891135875566</v>
      </c>
      <c r="N8" s="87"/>
      <c r="Q8" s="87"/>
    </row>
    <row r="9" spans="2:17" ht="27" customHeight="1">
      <c r="B9" s="84" t="s">
        <v>275</v>
      </c>
      <c r="C9" s="72">
        <f t="shared" ca="1" si="0"/>
        <v>11</v>
      </c>
      <c r="D9" s="84" t="s">
        <v>143</v>
      </c>
      <c r="E9" s="72">
        <f ca="1">ROUND(NORMINV(RAND(),E$1,E$2),0)</f>
        <v>18</v>
      </c>
      <c r="G9" s="116"/>
      <c r="H9" s="116"/>
      <c r="I9" s="116"/>
      <c r="J9" s="87"/>
      <c r="K9" s="56" t="s">
        <v>58</v>
      </c>
      <c r="L9" s="115">
        <f ca="1">D17+L8</f>
        <v>10.863889113587557</v>
      </c>
      <c r="N9" s="87"/>
      <c r="Q9" s="87"/>
    </row>
    <row r="10" spans="2:17" ht="27" customHeight="1">
      <c r="B10" s="100" t="s">
        <v>12</v>
      </c>
      <c r="C10" s="72">
        <f t="shared" ca="1" si="0"/>
        <v>6</v>
      </c>
      <c r="D10" s="100"/>
      <c r="E10" s="72"/>
      <c r="G10" s="116"/>
      <c r="H10" s="116"/>
      <c r="I10" s="116"/>
      <c r="J10" s="87"/>
      <c r="K10" s="56" t="s">
        <v>57</v>
      </c>
      <c r="L10" s="115">
        <f ca="1">D17-L8</f>
        <v>1.3861108864124434</v>
      </c>
      <c r="N10" s="87"/>
      <c r="Q10" s="87"/>
    </row>
    <row r="11" spans="2:17" ht="27" customHeight="1">
      <c r="B11" s="100" t="s">
        <v>13</v>
      </c>
      <c r="C11" s="72">
        <f t="shared" ca="1" si="0"/>
        <v>7</v>
      </c>
      <c r="D11" s="100"/>
      <c r="E11" s="72"/>
      <c r="J11" s="87"/>
      <c r="N11" s="87"/>
      <c r="Q11" s="87"/>
    </row>
    <row r="12" spans="2:17" ht="27" customHeight="1">
      <c r="B12" s="100" t="s">
        <v>182</v>
      </c>
      <c r="C12" s="72">
        <f t="shared" ca="1" si="0"/>
        <v>6</v>
      </c>
      <c r="D12" s="100"/>
      <c r="E12" s="72"/>
    </row>
    <row r="13" spans="2:17" ht="27" customHeight="1" thickBot="1">
      <c r="B13" s="128" t="s">
        <v>183</v>
      </c>
      <c r="C13" s="129">
        <f t="shared" ca="1" si="0"/>
        <v>7</v>
      </c>
      <c r="D13" s="128"/>
      <c r="E13" s="129"/>
    </row>
    <row r="14" spans="2:17" ht="27" customHeight="1">
      <c r="B14" s="101" t="s">
        <v>184</v>
      </c>
      <c r="C14" s="105">
        <f ca="1">SUM(C6:C13)</f>
        <v>61</v>
      </c>
      <c r="D14" s="101" t="s">
        <v>185</v>
      </c>
      <c r="E14" s="105">
        <f ca="1">SUM(E6:E13)</f>
        <v>55</v>
      </c>
    </row>
    <row r="15" spans="2:17" ht="27" customHeight="1">
      <c r="B15" s="84" t="s">
        <v>306</v>
      </c>
      <c r="C15" s="106">
        <f ca="1">COUNT(C6:C13)</f>
        <v>8</v>
      </c>
      <c r="D15" s="84" t="s">
        <v>109</v>
      </c>
      <c r="E15" s="106">
        <f ca="1">COUNT(E6:E13)</f>
        <v>4</v>
      </c>
    </row>
    <row r="16" spans="2:17" ht="27" customHeight="1">
      <c r="B16" s="101" t="s">
        <v>175</v>
      </c>
      <c r="C16" s="104">
        <f ca="1">C14/C15</f>
        <v>7.625</v>
      </c>
      <c r="D16" s="101" t="s">
        <v>199</v>
      </c>
      <c r="E16" s="104">
        <f ca="1">E14/E15</f>
        <v>13.75</v>
      </c>
    </row>
    <row r="17" spans="2:13" ht="27" customHeight="1">
      <c r="B17" s="101"/>
      <c r="C17" s="127" t="s">
        <v>288</v>
      </c>
      <c r="D17" s="103">
        <f ca="1">E16-C16</f>
        <v>6.125</v>
      </c>
      <c r="E17" s="102"/>
    </row>
    <row r="18" spans="2:13" ht="27" customHeight="1">
      <c r="B18" s="40"/>
      <c r="C18" s="40"/>
      <c r="D18" s="40"/>
      <c r="E18" s="40"/>
    </row>
    <row r="19" spans="2:13" ht="27" customHeight="1">
      <c r="B19" s="44" t="s">
        <v>400</v>
      </c>
      <c r="C19" s="52">
        <f ca="1">SUMSQ(C6:C13)-C14^2/C15</f>
        <v>91.875</v>
      </c>
      <c r="D19" s="52"/>
      <c r="E19" s="52">
        <f ca="1">SUMSQ(E6:E13)-E14^2/E15</f>
        <v>28.75</v>
      </c>
    </row>
    <row r="20" spans="2:13" ht="27" customHeight="1">
      <c r="B20" s="41" t="s">
        <v>401</v>
      </c>
      <c r="C20" s="47">
        <f ca="1">C15-1</f>
        <v>7</v>
      </c>
      <c r="D20" s="40"/>
      <c r="E20" s="47">
        <f ca="1">E15-1</f>
        <v>3</v>
      </c>
    </row>
    <row r="21" spans="2:13" ht="27" customHeight="1">
      <c r="B21" s="41" t="s">
        <v>289</v>
      </c>
      <c r="C21" s="45">
        <f ca="1">C19/C20</f>
        <v>13.125</v>
      </c>
      <c r="D21" s="45"/>
      <c r="E21" s="45">
        <f ca="1">E19/E20</f>
        <v>9.5833333333333339</v>
      </c>
    </row>
    <row r="22" spans="2:13" ht="27" customHeight="1">
      <c r="B22" s="41" t="s">
        <v>14</v>
      </c>
      <c r="C22" s="45">
        <f ca="1">C20/($C20+$E20)</f>
        <v>0.7</v>
      </c>
      <c r="D22" s="45"/>
      <c r="E22" s="45">
        <f ca="1">E20/($C20+$E20)</f>
        <v>0.3</v>
      </c>
    </row>
    <row r="23" spans="2:13" ht="27" customHeight="1">
      <c r="B23" s="41" t="s">
        <v>15</v>
      </c>
      <c r="C23" s="45">
        <f ca="1">SQRT(C21)</f>
        <v>3.6228441865473595</v>
      </c>
      <c r="D23" s="45"/>
      <c r="E23" s="45">
        <f ca="1">SQRT(E21)</f>
        <v>3.0956959368344519</v>
      </c>
    </row>
    <row r="24" spans="2:13" ht="27" customHeight="1">
      <c r="B24" s="41" t="s">
        <v>16</v>
      </c>
      <c r="C24" s="45">
        <f ca="1">C21/C15</f>
        <v>1.640625</v>
      </c>
      <c r="D24" s="45"/>
      <c r="E24" s="45">
        <f ca="1">E21/E15</f>
        <v>2.3958333333333335</v>
      </c>
    </row>
    <row r="25" spans="2:13" ht="27" customHeight="1">
      <c r="B25" s="41" t="s">
        <v>17</v>
      </c>
      <c r="C25" s="45">
        <f ca="1">SQRT(C24)</f>
        <v>1.2808688457449497</v>
      </c>
      <c r="D25" s="45"/>
      <c r="E25" s="45">
        <f ca="1">SQRT(E24)</f>
        <v>1.5478479684172259</v>
      </c>
    </row>
    <row r="26" spans="2:13" ht="27" customHeight="1">
      <c r="B26" s="41"/>
      <c r="C26" s="41" t="s">
        <v>18</v>
      </c>
      <c r="D26" s="110">
        <f ca="1">SUMPRODUCT(C21:E21,C22:E22)</f>
        <v>12.0625</v>
      </c>
      <c r="E26" s="110"/>
    </row>
    <row r="27" spans="2:13" ht="27" customHeight="1">
      <c r="B27" s="41"/>
      <c r="C27" s="41" t="s">
        <v>375</v>
      </c>
      <c r="D27" s="111">
        <f ca="1">C20+E20</f>
        <v>10</v>
      </c>
      <c r="E27" s="112"/>
    </row>
    <row r="28" spans="2:13" ht="27" customHeight="1">
      <c r="B28" s="41"/>
      <c r="C28" s="41" t="s">
        <v>83</v>
      </c>
      <c r="D28" s="110">
        <f ca="1">SQRT(D26/C15+D26/E15)</f>
        <v>2.1268374408966944</v>
      </c>
      <c r="E28" s="112"/>
    </row>
    <row r="29" spans="2:13" ht="27" customHeight="1">
      <c r="B29" s="41"/>
      <c r="C29" s="41"/>
      <c r="D29" s="110"/>
      <c r="E29" s="112"/>
    </row>
    <row r="30" spans="2:13" ht="27" customHeight="1">
      <c r="E30" s="26"/>
      <c r="G30" s="434" t="s">
        <v>476</v>
      </c>
      <c r="H30" s="434"/>
      <c r="I30" s="117"/>
      <c r="K30" s="118" t="s">
        <v>31</v>
      </c>
      <c r="L30" s="117"/>
      <c r="M30" s="117"/>
    </row>
    <row r="31" spans="2:13" ht="27" customHeight="1">
      <c r="E31" s="26"/>
      <c r="G31" s="107"/>
      <c r="H31" s="107"/>
      <c r="I31" s="114"/>
      <c r="K31" s="56" t="s">
        <v>373</v>
      </c>
      <c r="L31" s="115">
        <f ca="1">C23</f>
        <v>3.6228441865473595</v>
      </c>
      <c r="M31" s="115">
        <f ca="1">E23</f>
        <v>3.0956959368344519</v>
      </c>
    </row>
    <row r="32" spans="2:13" ht="27" customHeight="1">
      <c r="E32" s="26"/>
      <c r="G32" s="56" t="s">
        <v>30</v>
      </c>
      <c r="H32" s="115">
        <f ca="1">SQRT($D$26/C15)</f>
        <v>1.2279301690242812</v>
      </c>
      <c r="I32" s="115">
        <f ca="1">SQRT($D$26/E15)</f>
        <v>1.7365554986812255</v>
      </c>
      <c r="K32" s="56" t="s">
        <v>38</v>
      </c>
      <c r="L32" s="115">
        <f ca="1">L31/SQRT(C15)</f>
        <v>1.2808688457449497</v>
      </c>
      <c r="M32" s="115">
        <f ca="1">M31/SQRT(E15)</f>
        <v>1.5478479684172259</v>
      </c>
    </row>
    <row r="33" spans="2:13" ht="27" customHeight="1">
      <c r="E33" s="26"/>
      <c r="G33" s="56" t="s">
        <v>473</v>
      </c>
      <c r="H33" s="115">
        <f ca="1">TINV(1-$E$3,$D$27)</f>
        <v>2.2281388424258681</v>
      </c>
      <c r="I33" s="115">
        <f ca="1">TINV(1-$E$3,$D$27)</f>
        <v>2.2281388424258681</v>
      </c>
      <c r="K33" s="56" t="s">
        <v>371</v>
      </c>
      <c r="L33" s="115">
        <f ca="1">TINV(1-$E$3,C20)</f>
        <v>2.3646242509493183</v>
      </c>
      <c r="M33" s="115">
        <f ca="1">TINV(1-$E$3,E20)</f>
        <v>3.1824463048868781</v>
      </c>
    </row>
    <row r="34" spans="2:13" ht="27" customHeight="1">
      <c r="B34" s="2"/>
      <c r="C34" s="2"/>
      <c r="D34" s="29"/>
      <c r="E34" s="26"/>
      <c r="G34" s="59" t="s">
        <v>372</v>
      </c>
      <c r="H34" s="120">
        <f ca="1">H32*H33</f>
        <v>2.7359989053895624</v>
      </c>
      <c r="I34" s="120">
        <f ca="1">I32*I33</f>
        <v>3.8692867586398618</v>
      </c>
      <c r="K34" s="59" t="s">
        <v>162</v>
      </c>
      <c r="L34" s="121">
        <f ca="1">L32*L33</f>
        <v>3.0287735349339697</v>
      </c>
      <c r="M34" s="121">
        <f ca="1">M32*M33</f>
        <v>4.9259430476160615</v>
      </c>
    </row>
    <row r="35" spans="2:13" ht="27" customHeight="1">
      <c r="E35" s="26"/>
      <c r="G35" s="56" t="s">
        <v>58</v>
      </c>
      <c r="H35" s="115">
        <f ca="1">C16+H34</f>
        <v>10.360998905389563</v>
      </c>
      <c r="I35" s="115">
        <f ca="1">E16+I34</f>
        <v>17.619286758639863</v>
      </c>
      <c r="K35" s="56" t="s">
        <v>58</v>
      </c>
      <c r="L35" s="119">
        <f ca="1">C16+L34</f>
        <v>10.65377353493397</v>
      </c>
      <c r="M35" s="119">
        <f ca="1">E16+M34</f>
        <v>18.675943047616062</v>
      </c>
    </row>
    <row r="36" spans="2:13" ht="27" customHeight="1">
      <c r="B36" s="2"/>
      <c r="C36" s="26"/>
      <c r="E36" s="26"/>
      <c r="G36" s="56" t="s">
        <v>57</v>
      </c>
      <c r="H36" s="115">
        <f ca="1">C16-H34</f>
        <v>4.8890010946104372</v>
      </c>
      <c r="I36" s="115">
        <f ca="1">E16-I34</f>
        <v>9.8807132413601373</v>
      </c>
      <c r="K36" s="56" t="s">
        <v>57</v>
      </c>
      <c r="L36" s="119">
        <f ca="1">C16-L34</f>
        <v>4.5962264650660298</v>
      </c>
      <c r="M36" s="119">
        <f ca="1">E16-M34</f>
        <v>8.8240569523839376</v>
      </c>
    </row>
    <row r="43" spans="2:13" ht="27" customHeight="1">
      <c r="B43" s="15"/>
      <c r="C43" s="24"/>
      <c r="D43" s="27"/>
      <c r="E43" s="24"/>
    </row>
    <row r="44" spans="2:13" ht="27" customHeight="1">
      <c r="B44" s="15"/>
      <c r="E44" s="24"/>
    </row>
    <row r="45" spans="2:13" ht="27" customHeight="1">
      <c r="B45" s="15"/>
      <c r="E45" s="24"/>
    </row>
    <row r="46" spans="2:13" ht="27" customHeight="1">
      <c r="B46" s="15"/>
      <c r="E46" s="24"/>
    </row>
    <row r="47" spans="2:13" ht="27" customHeight="1">
      <c r="B47" s="15"/>
      <c r="E47" s="24"/>
    </row>
    <row r="48" spans="2:13" ht="27" customHeight="1">
      <c r="B48" s="15"/>
      <c r="E48" s="24"/>
    </row>
    <row r="49" spans="2:5" ht="27" customHeight="1">
      <c r="B49" s="15"/>
      <c r="E49" s="24"/>
    </row>
    <row r="50" spans="2:5" ht="27" customHeight="1">
      <c r="B50" s="15"/>
      <c r="C50" s="24"/>
      <c r="D50" s="27"/>
      <c r="E50" s="24"/>
    </row>
  </sheetData>
  <sheetCalcPr fullCalcOnLoad="1"/>
  <mergeCells count="5">
    <mergeCell ref="G30:H30"/>
    <mergeCell ref="K5:L5"/>
    <mergeCell ref="B4:E4"/>
    <mergeCell ref="B5:C5"/>
    <mergeCell ref="D5:E5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50"/>
  <sheetViews>
    <sheetView topLeftCell="K1" zoomScale="95" workbookViewId="0">
      <selection activeCell="C3" sqref="C3"/>
    </sheetView>
  </sheetViews>
  <sheetFormatPr baseColWidth="10" defaultRowHeight="27" customHeight="1"/>
  <cols>
    <col min="1" max="11" width="6.296875" style="5" customWidth="1"/>
    <col min="12" max="12" width="3.09765625" style="5" customWidth="1"/>
    <col min="13" max="13" width="14" style="5" customWidth="1"/>
    <col min="14" max="14" width="10.69921875" style="5"/>
    <col min="15" max="15" width="9.3984375" style="5" customWidth="1"/>
    <col min="16" max="17" width="10.69921875" style="5"/>
    <col min="18" max="20" width="9.8984375" style="5" customWidth="1"/>
    <col min="21" max="21" width="10.59765625" style="5" customWidth="1"/>
    <col min="22" max="22" width="5.09765625" style="5" customWidth="1"/>
    <col min="23" max="23" width="10.69921875" style="5" customWidth="1"/>
    <col min="24" max="16384" width="10.69921875" style="5"/>
  </cols>
  <sheetData>
    <row r="1" spans="1:20" ht="27" customHeight="1">
      <c r="A1" s="158"/>
      <c r="B1" s="95" t="s">
        <v>323</v>
      </c>
      <c r="C1" s="97">
        <v>90</v>
      </c>
      <c r="D1" s="95" t="s">
        <v>422</v>
      </c>
      <c r="E1" s="97">
        <v>80</v>
      </c>
      <c r="F1" s="95" t="s">
        <v>429</v>
      </c>
      <c r="G1" s="97">
        <v>70</v>
      </c>
      <c r="H1" s="95" t="s">
        <v>430</v>
      </c>
      <c r="I1" s="97">
        <v>65</v>
      </c>
      <c r="J1" s="98"/>
      <c r="K1" s="99"/>
      <c r="M1" s="162" t="s">
        <v>374</v>
      </c>
      <c r="N1" s="291">
        <f ca="1">AVERAGE(C12:I12)</f>
        <v>76</v>
      </c>
      <c r="P1" s="23"/>
      <c r="Q1" s="23"/>
      <c r="R1" s="18" t="s">
        <v>76</v>
      </c>
      <c r="S1" s="23"/>
      <c r="T1" s="23"/>
    </row>
    <row r="2" spans="1:20" ht="27" customHeight="1">
      <c r="A2" s="158"/>
      <c r="B2" s="68" t="s">
        <v>322</v>
      </c>
      <c r="C2" s="69">
        <v>5</v>
      </c>
      <c r="D2" s="68" t="s">
        <v>431</v>
      </c>
      <c r="E2" s="69">
        <f>C2</f>
        <v>5</v>
      </c>
      <c r="F2" s="68" t="s">
        <v>46</v>
      </c>
      <c r="G2" s="69">
        <f>C2</f>
        <v>5</v>
      </c>
      <c r="H2" s="68" t="s">
        <v>47</v>
      </c>
      <c r="I2" s="69">
        <f>C2</f>
        <v>5</v>
      </c>
      <c r="J2" s="158"/>
      <c r="K2" s="158"/>
      <c r="M2" s="162" t="s">
        <v>147</v>
      </c>
      <c r="N2" s="164">
        <f ca="1">SUMSQ(C12:I12)-SUM(C12:I12)^2/C3</f>
        <v>483.43999999999869</v>
      </c>
      <c r="P2" s="205" t="s">
        <v>474</v>
      </c>
      <c r="Q2" s="206" t="s">
        <v>247</v>
      </c>
      <c r="R2" s="207" t="s">
        <v>93</v>
      </c>
      <c r="S2" s="161" t="s">
        <v>94</v>
      </c>
      <c r="T2" s="161" t="s">
        <v>95</v>
      </c>
    </row>
    <row r="3" spans="1:20" ht="27" customHeight="1">
      <c r="A3" s="151"/>
      <c r="B3" s="138" t="s">
        <v>44</v>
      </c>
      <c r="C3" s="142">
        <v>4</v>
      </c>
      <c r="D3" s="138" t="s">
        <v>45</v>
      </c>
      <c r="E3" s="142">
        <v>5</v>
      </c>
      <c r="F3" s="143" t="s">
        <v>428</v>
      </c>
      <c r="G3" s="144">
        <v>0.05</v>
      </c>
      <c r="H3" s="144" t="s">
        <v>56</v>
      </c>
      <c r="I3" s="139">
        <v>0.95</v>
      </c>
      <c r="J3" s="151"/>
      <c r="K3" s="151"/>
      <c r="M3" s="162" t="s">
        <v>346</v>
      </c>
      <c r="N3" s="165">
        <f>C3-1</f>
        <v>3</v>
      </c>
      <c r="P3" s="156">
        <v>1</v>
      </c>
      <c r="Q3" s="157">
        <f>C1</f>
        <v>90</v>
      </c>
      <c r="R3" s="280">
        <f ca="1">C12</f>
        <v>91.8</v>
      </c>
      <c r="S3" s="64">
        <f ca="1">C25</f>
        <v>3.8713672938938557</v>
      </c>
      <c r="T3" s="64">
        <f ca="1">C32</f>
        <v>5.9806457874491912</v>
      </c>
    </row>
    <row r="4" spans="1:20" ht="27" customHeight="1">
      <c r="A4" s="152"/>
      <c r="B4" s="432" t="s">
        <v>49</v>
      </c>
      <c r="C4" s="432"/>
      <c r="D4" s="432"/>
      <c r="E4" s="432"/>
      <c r="F4" s="432"/>
      <c r="G4" s="432"/>
      <c r="H4" s="432"/>
      <c r="I4" s="432"/>
      <c r="J4" s="152"/>
      <c r="K4" s="152"/>
      <c r="M4" s="162" t="s">
        <v>347</v>
      </c>
      <c r="N4" s="164">
        <f ca="1">N2/N3</f>
        <v>161.14666666666622</v>
      </c>
      <c r="P4" s="156">
        <v>15</v>
      </c>
      <c r="Q4" s="157">
        <f>E1</f>
        <v>80</v>
      </c>
      <c r="R4" s="280">
        <f ca="1">E12</f>
        <v>80</v>
      </c>
      <c r="S4" s="64">
        <f ca="1">E25</f>
        <v>3.8713672938938557</v>
      </c>
      <c r="T4" s="64">
        <f ca="1">E32</f>
        <v>5.412287889702692</v>
      </c>
    </row>
    <row r="5" spans="1:20" ht="27" customHeight="1">
      <c r="A5" s="152"/>
      <c r="B5" s="435" t="s">
        <v>324</v>
      </c>
      <c r="C5" s="432"/>
      <c r="D5" s="435" t="s">
        <v>50</v>
      </c>
      <c r="E5" s="432"/>
      <c r="F5" s="435" t="s">
        <v>442</v>
      </c>
      <c r="G5" s="432"/>
      <c r="H5" s="435" t="s">
        <v>443</v>
      </c>
      <c r="I5" s="432"/>
      <c r="J5" s="152"/>
      <c r="K5" s="152"/>
      <c r="M5" s="415" t="s">
        <v>348</v>
      </c>
      <c r="N5" s="290">
        <f ca="1">N4*E3</f>
        <v>805.73333333333107</v>
      </c>
      <c r="P5" s="156">
        <v>30</v>
      </c>
      <c r="Q5" s="157">
        <f>G1</f>
        <v>70</v>
      </c>
      <c r="R5" s="280">
        <f ca="1">G12</f>
        <v>69.400000000000006</v>
      </c>
      <c r="S5" s="64">
        <f ca="1">G25</f>
        <v>3.8713672938938557</v>
      </c>
      <c r="T5" s="64">
        <f ca="1">G32</f>
        <v>5.9288643298044166</v>
      </c>
    </row>
    <row r="6" spans="1:20" ht="27" customHeight="1">
      <c r="A6" s="146"/>
      <c r="B6" s="100" t="s">
        <v>424</v>
      </c>
      <c r="C6" s="127">
        <f ca="1">ROUND(NORMINV(RAND(),C$1,C$2),0)</f>
        <v>94</v>
      </c>
      <c r="D6" s="100" t="s">
        <v>412</v>
      </c>
      <c r="E6" s="127">
        <f ca="1">ROUND(NORMINV(RAND(),E$1,E$2),0)</f>
        <v>79</v>
      </c>
      <c r="F6" s="100" t="s">
        <v>444</v>
      </c>
      <c r="G6" s="127">
        <f ca="1">ROUND(NORMINV(RAND(),G$1,G$2),0)</f>
        <v>64</v>
      </c>
      <c r="H6" s="100" t="s">
        <v>445</v>
      </c>
      <c r="I6" s="127">
        <f ca="1">ROUND(NORMINV(RAND(),I$1,I$2),0)</f>
        <v>64</v>
      </c>
      <c r="J6" s="147"/>
      <c r="K6" s="147"/>
      <c r="M6" s="162" t="s">
        <v>349</v>
      </c>
      <c r="N6" s="163">
        <f ca="1">K17</f>
        <v>16.675000000000182</v>
      </c>
      <c r="P6" s="156">
        <v>45</v>
      </c>
      <c r="Q6" s="157">
        <f>I1</f>
        <v>65</v>
      </c>
      <c r="R6" s="280">
        <f ca="1">I12</f>
        <v>62.8</v>
      </c>
      <c r="S6" s="64">
        <f ca="1">I25</f>
        <v>3.8713672938938557</v>
      </c>
      <c r="T6" s="64">
        <f ca="1">I32</f>
        <v>1.6189317846188249</v>
      </c>
    </row>
    <row r="7" spans="1:20" ht="27" customHeight="1">
      <c r="A7" s="146"/>
      <c r="B7" s="100" t="s">
        <v>413</v>
      </c>
      <c r="C7" s="127">
        <f ca="1">ROUND(NORMINV(RAND(),C$1,C$2),0)</f>
        <v>90</v>
      </c>
      <c r="D7" s="100" t="s">
        <v>414</v>
      </c>
      <c r="E7" s="127">
        <f ca="1">ROUND(NORMINV(RAND(),E$1,E$2),0)</f>
        <v>77</v>
      </c>
      <c r="F7" s="100" t="s">
        <v>446</v>
      </c>
      <c r="G7" s="127">
        <f ca="1">ROUND(NORMINV(RAND(),G$1,G$2),0)</f>
        <v>69</v>
      </c>
      <c r="H7" s="100" t="s">
        <v>447</v>
      </c>
      <c r="I7" s="127">
        <f ca="1">ROUND(NORMINV(RAND(),I$1,I$2),0)</f>
        <v>61</v>
      </c>
      <c r="J7" s="147"/>
      <c r="K7" s="147"/>
      <c r="M7" s="162" t="s">
        <v>358</v>
      </c>
      <c r="N7" s="293">
        <f ca="1">N5/K17</f>
        <v>48.319840079959356</v>
      </c>
      <c r="O7" s="2"/>
    </row>
    <row r="8" spans="1:20" ht="27" customHeight="1">
      <c r="A8" s="146"/>
      <c r="B8" s="100" t="s">
        <v>260</v>
      </c>
      <c r="C8" s="127">
        <f ca="1">ROUND(NORMINV(RAND(),C$1,C$2),0)</f>
        <v>98</v>
      </c>
      <c r="D8" s="100" t="s">
        <v>261</v>
      </c>
      <c r="E8" s="127">
        <f ca="1">ROUND(NORMINV(RAND(),E$1,E$2),0)</f>
        <v>85</v>
      </c>
      <c r="F8" s="100" t="s">
        <v>54</v>
      </c>
      <c r="G8" s="127">
        <f ca="1">ROUND(NORMINV(RAND(),G$1,G$2),0)</f>
        <v>66</v>
      </c>
      <c r="H8" s="100" t="s">
        <v>55</v>
      </c>
      <c r="I8" s="127">
        <f ca="1">ROUND(NORMINV(RAND(),I$1,I$2),0)</f>
        <v>64</v>
      </c>
      <c r="J8" s="147"/>
      <c r="K8" s="147"/>
      <c r="M8" s="162" t="s">
        <v>198</v>
      </c>
      <c r="N8" s="293">
        <f ca="1">FINV(G3,N3,K16)</f>
        <v>3.2388715223610909</v>
      </c>
    </row>
    <row r="9" spans="1:20" ht="27" customHeight="1">
      <c r="A9" s="146"/>
      <c r="B9" s="100" t="s">
        <v>218</v>
      </c>
      <c r="C9" s="127">
        <f ca="1">ROUND(NORMINV(RAND(),C$1,C$2),0)</f>
        <v>85</v>
      </c>
      <c r="D9" s="100" t="s">
        <v>418</v>
      </c>
      <c r="E9" s="127">
        <f ca="1">ROUND(NORMINV(RAND(),E$1,E$2),0)</f>
        <v>75</v>
      </c>
      <c r="F9" s="100" t="s">
        <v>236</v>
      </c>
      <c r="G9" s="127">
        <f ca="1">ROUND(NORMINV(RAND(),G$1,G$2),0)</f>
        <v>72</v>
      </c>
      <c r="H9" s="100" t="s">
        <v>237</v>
      </c>
      <c r="I9" s="127">
        <f ca="1">ROUND(NORMINV(RAND(),I$1,I$2),0)</f>
        <v>62</v>
      </c>
      <c r="J9" s="147"/>
      <c r="K9" s="147"/>
    </row>
    <row r="10" spans="1:20" ht="27" customHeight="1">
      <c r="A10" s="166"/>
      <c r="B10" s="167" t="s">
        <v>432</v>
      </c>
      <c r="C10" s="74">
        <f ca="1">ROUND(NORMINV(RAND(),C$1,C$2),0)</f>
        <v>92</v>
      </c>
      <c r="D10" s="167" t="s">
        <v>433</v>
      </c>
      <c r="E10" s="74">
        <f ca="1">ROUND(NORMINV(RAND(),E$1,E$2),0)</f>
        <v>84</v>
      </c>
      <c r="F10" s="167" t="s">
        <v>238</v>
      </c>
      <c r="G10" s="74">
        <f ca="1">ROUND(NORMINV(RAND(),G$1,G$2),0)</f>
        <v>76</v>
      </c>
      <c r="H10" s="167" t="s">
        <v>239</v>
      </c>
      <c r="I10" s="74">
        <f ca="1">ROUND(NORMINV(RAND(),I$1,I$2),0)</f>
        <v>63</v>
      </c>
      <c r="J10" s="168"/>
      <c r="K10" s="168"/>
    </row>
    <row r="11" spans="1:20" ht="27" customHeight="1">
      <c r="A11" s="148" t="s">
        <v>307</v>
      </c>
      <c r="B11" s="100" t="s">
        <v>308</v>
      </c>
      <c r="C11" s="127">
        <f ca="1">SUM(C6:C10)</f>
        <v>459</v>
      </c>
      <c r="D11" s="100" t="s">
        <v>309</v>
      </c>
      <c r="E11" s="127">
        <f ca="1">SUM(E6:E10)</f>
        <v>400</v>
      </c>
      <c r="F11" s="100" t="s">
        <v>310</v>
      </c>
      <c r="G11" s="127">
        <f ca="1">SUM(G6:G10)</f>
        <v>347</v>
      </c>
      <c r="H11" s="100" t="s">
        <v>311</v>
      </c>
      <c r="I11" s="127">
        <f ca="1">SUM(I6:I10)</f>
        <v>314</v>
      </c>
      <c r="J11" s="100" t="s">
        <v>312</v>
      </c>
      <c r="K11" s="105">
        <f ca="1">SUM(C11:I11)</f>
        <v>1520</v>
      </c>
    </row>
    <row r="12" spans="1:20" ht="27" customHeight="1">
      <c r="A12" s="148" t="s">
        <v>313</v>
      </c>
      <c r="B12" s="100" t="s">
        <v>314</v>
      </c>
      <c r="C12" s="145">
        <f ca="1">C11/C14</f>
        <v>91.8</v>
      </c>
      <c r="D12" s="100" t="s">
        <v>315</v>
      </c>
      <c r="E12" s="145">
        <f ca="1">E11/E14</f>
        <v>80</v>
      </c>
      <c r="F12" s="100" t="s">
        <v>316</v>
      </c>
      <c r="G12" s="145">
        <f ca="1">G11/G14</f>
        <v>69.400000000000006</v>
      </c>
      <c r="H12" s="100" t="s">
        <v>242</v>
      </c>
      <c r="I12" s="145">
        <f ca="1">I11/I14</f>
        <v>62.8</v>
      </c>
      <c r="J12" s="100"/>
      <c r="K12" s="103"/>
    </row>
    <row r="13" spans="1:20" ht="27" customHeight="1">
      <c r="A13" s="116"/>
      <c r="B13" s="5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20" ht="27" customHeight="1">
      <c r="A14" s="116"/>
      <c r="B14" s="56" t="s">
        <v>396</v>
      </c>
      <c r="C14" s="109">
        <f ca="1">COUNT(C6:C10)</f>
        <v>5</v>
      </c>
      <c r="D14" s="116"/>
      <c r="E14" s="109">
        <f ca="1">COUNT(E6:E10)</f>
        <v>5</v>
      </c>
      <c r="F14" s="116"/>
      <c r="G14" s="109">
        <f ca="1">COUNT(G6:G10)</f>
        <v>5</v>
      </c>
      <c r="H14" s="116"/>
      <c r="I14" s="109">
        <f ca="1">COUNT(I6:I10)</f>
        <v>5</v>
      </c>
      <c r="J14" s="56" t="s">
        <v>276</v>
      </c>
      <c r="K14" s="149">
        <f ca="1">SUM(C14:I14)</f>
        <v>20</v>
      </c>
    </row>
    <row r="15" spans="1:20" ht="27" customHeight="1">
      <c r="A15" s="116"/>
      <c r="B15" s="150" t="s">
        <v>400</v>
      </c>
      <c r="C15" s="119">
        <f ca="1">SUMSQ(C6:C10)-C11^2/C14</f>
        <v>92.80000000000291</v>
      </c>
      <c r="D15" s="119"/>
      <c r="E15" s="119">
        <f ca="1">SUMSQ(E6:E10)-E11^2/E14</f>
        <v>76</v>
      </c>
      <c r="F15" s="119"/>
      <c r="G15" s="119">
        <f ca="1">SUMSQ(G6:G10)-G11^2/G14</f>
        <v>91.200000000000728</v>
      </c>
      <c r="H15" s="119"/>
      <c r="I15" s="119">
        <f ca="1">SUMSQ(I6:I10)-I11^2/I14</f>
        <v>6.7999999999992724</v>
      </c>
      <c r="J15" s="150" t="s">
        <v>23</v>
      </c>
      <c r="K15" s="117">
        <f ca="1">SUM(C15:I15)</f>
        <v>266.80000000000291</v>
      </c>
    </row>
    <row r="16" spans="1:20" ht="27" customHeight="1">
      <c r="A16" s="116"/>
      <c r="B16" s="56" t="s">
        <v>401</v>
      </c>
      <c r="C16" s="109">
        <f ca="1">C14-1</f>
        <v>4</v>
      </c>
      <c r="D16" s="116"/>
      <c r="E16" s="109">
        <f ca="1">E14-1</f>
        <v>4</v>
      </c>
      <c r="F16" s="116"/>
      <c r="G16" s="109">
        <f ca="1">G14-1</f>
        <v>4</v>
      </c>
      <c r="H16" s="116"/>
      <c r="I16" s="109">
        <f ca="1">I14-1</f>
        <v>4</v>
      </c>
      <c r="J16" s="56" t="s">
        <v>243</v>
      </c>
      <c r="K16" s="149">
        <f ca="1">SUM(C16:I16)</f>
        <v>16</v>
      </c>
    </row>
    <row r="17" spans="1:20" ht="27" customHeight="1">
      <c r="A17" s="116"/>
      <c r="B17" s="56" t="s">
        <v>289</v>
      </c>
      <c r="C17" s="115">
        <f ca="1">C15/C16</f>
        <v>23.200000000000728</v>
      </c>
      <c r="D17" s="115"/>
      <c r="E17" s="115">
        <f ca="1">E15/E16</f>
        <v>19</v>
      </c>
      <c r="F17" s="115"/>
      <c r="G17" s="115">
        <f ca="1">G15/G16</f>
        <v>22.800000000000182</v>
      </c>
      <c r="H17" s="115"/>
      <c r="I17" s="115">
        <f ca="1">I15/I16</f>
        <v>1.6999999999998181</v>
      </c>
      <c r="J17" s="56" t="s">
        <v>244</v>
      </c>
      <c r="K17" s="117">
        <f ca="1">SUMPRODUCT(C17:I17,C18:I18)</f>
        <v>16.675000000000182</v>
      </c>
    </row>
    <row r="18" spans="1:20" ht="27" customHeight="1">
      <c r="A18" s="116"/>
      <c r="B18" s="56" t="s">
        <v>14</v>
      </c>
      <c r="C18" s="115">
        <f ca="1">C16/$K$16</f>
        <v>0.25</v>
      </c>
      <c r="D18" s="115"/>
      <c r="E18" s="115">
        <f ca="1">E16/$K$16</f>
        <v>0.25</v>
      </c>
      <c r="F18" s="115"/>
      <c r="G18" s="115">
        <f ca="1">G16/$K$16</f>
        <v>0.25</v>
      </c>
      <c r="H18" s="115"/>
      <c r="I18" s="115">
        <f ca="1">I16/$K$16</f>
        <v>0.25</v>
      </c>
      <c r="J18" s="116"/>
      <c r="K18" s="116"/>
    </row>
    <row r="19" spans="1:20" ht="27" customHeight="1">
      <c r="A19" s="116"/>
      <c r="B19" s="56" t="s">
        <v>15</v>
      </c>
      <c r="C19" s="115">
        <f ca="1">SQRT(C17)</f>
        <v>4.816637831516994</v>
      </c>
      <c r="D19" s="115"/>
      <c r="E19" s="115">
        <f ca="1">SQRT(E17)</f>
        <v>4.358898943540674</v>
      </c>
      <c r="F19" s="115"/>
      <c r="G19" s="115">
        <f ca="1">SQRT(G17)</f>
        <v>4.7749345545253474</v>
      </c>
      <c r="H19" s="115"/>
      <c r="I19" s="115">
        <f ca="1">SQRT(I17)</f>
        <v>1.30384048104046</v>
      </c>
      <c r="J19" s="116"/>
      <c r="K19" s="116"/>
    </row>
    <row r="20" spans="1:20" ht="27" customHeight="1">
      <c r="A20" s="116"/>
      <c r="B20" s="56" t="s">
        <v>16</v>
      </c>
      <c r="C20" s="115">
        <f ca="1">C17/C14</f>
        <v>4.6400000000001453</v>
      </c>
      <c r="D20" s="115"/>
      <c r="E20" s="115">
        <f ca="1">E17/E14</f>
        <v>3.8</v>
      </c>
      <c r="F20" s="115"/>
      <c r="G20" s="115">
        <f ca="1">G17/G14</f>
        <v>4.560000000000036</v>
      </c>
      <c r="H20" s="115"/>
      <c r="I20" s="115">
        <f ca="1">I17/I14</f>
        <v>0.33999999999996361</v>
      </c>
      <c r="J20" s="116"/>
      <c r="K20" s="116"/>
    </row>
    <row r="21" spans="1:20" ht="27" customHeight="1" thickBot="1">
      <c r="A21" s="208"/>
      <c r="B21" s="209" t="s">
        <v>17</v>
      </c>
      <c r="C21" s="210">
        <f ca="1">SQRT(C20)</f>
        <v>2.1540659228538352</v>
      </c>
      <c r="D21" s="210"/>
      <c r="E21" s="210">
        <f ca="1">SQRT(E20)</f>
        <v>1.9493588689617927</v>
      </c>
      <c r="F21" s="210"/>
      <c r="G21" s="210">
        <f ca="1">SQRT(G20)</f>
        <v>2.1354156504062707</v>
      </c>
      <c r="H21" s="210"/>
      <c r="I21" s="210">
        <f ca="1">SQRT(I20)</f>
        <v>0.58309518948449879</v>
      </c>
      <c r="J21" s="208"/>
      <c r="K21" s="208"/>
    </row>
    <row r="22" spans="1:20" ht="27" customHeight="1" thickTop="1">
      <c r="A22" s="107"/>
      <c r="B22" s="301" t="s">
        <v>245</v>
      </c>
      <c r="C22" s="246"/>
      <c r="D22" s="246"/>
      <c r="E22" s="246"/>
      <c r="F22" s="246"/>
      <c r="G22" s="246"/>
      <c r="H22" s="246"/>
      <c r="I22" s="246"/>
      <c r="J22" s="107"/>
      <c r="K22" s="155"/>
    </row>
    <row r="23" spans="1:20" ht="27" customHeight="1">
      <c r="A23" s="107"/>
      <c r="B23" s="56" t="s">
        <v>187</v>
      </c>
      <c r="C23" s="115">
        <f ca="1">SQRT($K$17/C14)</f>
        <v>1.8261982367749774</v>
      </c>
      <c r="D23" s="115"/>
      <c r="E23" s="115">
        <f ca="1">SQRT($K$17/E14)</f>
        <v>1.8261982367749774</v>
      </c>
      <c r="F23" s="115"/>
      <c r="G23" s="115">
        <f ca="1">SQRT($K$17/G14)</f>
        <v>1.8261982367749774</v>
      </c>
      <c r="H23" s="115"/>
      <c r="I23" s="115">
        <f ca="1">SQRT($K$17/I14)</f>
        <v>1.8261982367749774</v>
      </c>
      <c r="J23" s="107"/>
      <c r="K23" s="107"/>
    </row>
    <row r="24" spans="1:20" ht="27" customHeight="1">
      <c r="A24" s="107"/>
      <c r="B24" s="56" t="s">
        <v>371</v>
      </c>
      <c r="C24" s="115">
        <f ca="1">TINV(1-$I$3,$K$16)</f>
        <v>2.1199052851625781</v>
      </c>
      <c r="D24" s="116"/>
      <c r="E24" s="115">
        <f ca="1">TINV(1-$I$3,$K$16)</f>
        <v>2.1199052851625781</v>
      </c>
      <c r="F24" s="116"/>
      <c r="G24" s="115">
        <f ca="1">TINV(1-$I$3,$K$16)</f>
        <v>2.1199052851625781</v>
      </c>
      <c r="H24" s="116"/>
      <c r="I24" s="115">
        <f ca="1">TINV(1-$I$3,$K$16)</f>
        <v>2.1199052851625781</v>
      </c>
      <c r="J24" s="107"/>
      <c r="K24" s="107"/>
    </row>
    <row r="25" spans="1:20" ht="27" customHeight="1">
      <c r="A25" s="107"/>
      <c r="B25" s="59" t="s">
        <v>246</v>
      </c>
      <c r="C25" s="121">
        <f ca="1">C23*C24</f>
        <v>3.8713672938938557</v>
      </c>
      <c r="D25" s="121"/>
      <c r="E25" s="121">
        <f ca="1">E23*E24</f>
        <v>3.8713672938938557</v>
      </c>
      <c r="F25" s="121"/>
      <c r="G25" s="121">
        <f ca="1">G23*G24</f>
        <v>3.8713672938938557</v>
      </c>
      <c r="H25" s="121"/>
      <c r="I25" s="121">
        <f ca="1">I23*I24</f>
        <v>3.8713672938938557</v>
      </c>
      <c r="J25" s="107"/>
      <c r="K25" s="107"/>
    </row>
    <row r="26" spans="1:20" ht="27" customHeight="1">
      <c r="A26" s="107"/>
      <c r="B26" s="56" t="s">
        <v>436</v>
      </c>
      <c r="C26" s="115">
        <f ca="1">C12+C25</f>
        <v>95.671367293893852</v>
      </c>
      <c r="D26" s="116"/>
      <c r="E26" s="115">
        <f ca="1">E12+E25</f>
        <v>83.871367293893854</v>
      </c>
      <c r="F26" s="116"/>
      <c r="G26" s="115">
        <f ca="1">G12+G25</f>
        <v>73.27136729389386</v>
      </c>
      <c r="H26" s="116"/>
      <c r="I26" s="115">
        <f ca="1">I12+I25</f>
        <v>66.671367293893852</v>
      </c>
      <c r="J26" s="107"/>
      <c r="K26" s="107"/>
    </row>
    <row r="27" spans="1:20" ht="27" customHeight="1" thickBot="1">
      <c r="A27" s="211"/>
      <c r="B27" s="209" t="s">
        <v>437</v>
      </c>
      <c r="C27" s="210">
        <f ca="1">C12-C25</f>
        <v>87.928632706106143</v>
      </c>
      <c r="D27" s="208"/>
      <c r="E27" s="210">
        <f ca="1">E12-E25</f>
        <v>76.128632706106146</v>
      </c>
      <c r="F27" s="208"/>
      <c r="G27" s="210">
        <f ca="1">G12-G25</f>
        <v>65.528632706106151</v>
      </c>
      <c r="H27" s="208"/>
      <c r="I27" s="210">
        <f ca="1">I12-I25</f>
        <v>58.928632706106143</v>
      </c>
      <c r="J27" s="211"/>
      <c r="K27" s="211"/>
    </row>
    <row r="28" spans="1:20" ht="27" customHeight="1" thickTop="1">
      <c r="A28" s="107"/>
      <c r="B28" s="301" t="s">
        <v>159</v>
      </c>
      <c r="C28" s="246"/>
      <c r="D28" s="246"/>
      <c r="E28" s="246"/>
      <c r="F28" s="246"/>
      <c r="G28" s="246"/>
      <c r="H28" s="246"/>
      <c r="I28" s="246"/>
      <c r="J28" s="107"/>
      <c r="K28" s="107"/>
    </row>
    <row r="29" spans="1:20" ht="27" customHeight="1">
      <c r="A29" s="107"/>
      <c r="B29" s="56" t="s">
        <v>160</v>
      </c>
      <c r="C29" s="115">
        <f ca="1">C19</f>
        <v>4.816637831516994</v>
      </c>
      <c r="D29" s="115"/>
      <c r="E29" s="115">
        <f ca="1">E19</f>
        <v>4.358898943540674</v>
      </c>
      <c r="F29" s="115"/>
      <c r="G29" s="115">
        <f ca="1">G19</f>
        <v>4.7749345545253474</v>
      </c>
      <c r="H29" s="115"/>
      <c r="I29" s="115">
        <f ca="1">I19</f>
        <v>1.30384048104046</v>
      </c>
      <c r="J29" s="107"/>
      <c r="K29" s="107"/>
    </row>
    <row r="30" spans="1:20" ht="27" customHeight="1">
      <c r="A30" s="107"/>
      <c r="B30" s="56" t="s">
        <v>161</v>
      </c>
      <c r="C30" s="115">
        <f ca="1">C29/SQRT(C14)</f>
        <v>2.1540659228538352</v>
      </c>
      <c r="D30" s="115"/>
      <c r="E30" s="115">
        <f ca="1">E29/SQRT(E14)</f>
        <v>1.9493588689617929</v>
      </c>
      <c r="F30" s="115"/>
      <c r="G30" s="115">
        <f ca="1">G29/SQRT(G14)</f>
        <v>2.1354156504062707</v>
      </c>
      <c r="H30" s="115"/>
      <c r="I30" s="115">
        <f ca="1">I29/SQRT(I14)</f>
        <v>0.58309518948449879</v>
      </c>
      <c r="J30" s="107"/>
      <c r="K30" s="107"/>
      <c r="M30" s="112" t="s">
        <v>96</v>
      </c>
      <c r="N30" s="40"/>
      <c r="O30" s="40"/>
      <c r="P30" s="40"/>
      <c r="Q30" s="40"/>
      <c r="R30" s="40"/>
      <c r="S30" s="107"/>
      <c r="T30" s="107"/>
    </row>
    <row r="31" spans="1:20" ht="27" customHeight="1">
      <c r="A31" s="107"/>
      <c r="B31" s="56" t="s">
        <v>371</v>
      </c>
      <c r="C31" s="115">
        <f ca="1">TINV(1-$I$3,C16)</f>
        <v>2.7764451050438019</v>
      </c>
      <c r="D31" s="115"/>
      <c r="E31" s="115">
        <f ca="1">TINV(1-$I$3,E16)</f>
        <v>2.7764451050438019</v>
      </c>
      <c r="F31" s="115"/>
      <c r="G31" s="115">
        <f ca="1">TINV(1-$I$3,G16)</f>
        <v>2.7764451050438019</v>
      </c>
      <c r="H31" s="115"/>
      <c r="I31" s="115">
        <f ca="1">TINV(1-$I$3,I16)</f>
        <v>2.7764451050438019</v>
      </c>
      <c r="J31" s="107"/>
      <c r="K31" s="107"/>
      <c r="M31" s="153" t="s">
        <v>97</v>
      </c>
      <c r="N31" s="154" t="s">
        <v>98</v>
      </c>
      <c r="O31" s="154" t="s">
        <v>99</v>
      </c>
      <c r="P31" s="154" t="s">
        <v>142</v>
      </c>
      <c r="Q31" s="160" t="s">
        <v>2</v>
      </c>
      <c r="R31" s="160" t="s">
        <v>51</v>
      </c>
      <c r="S31" s="161" t="s">
        <v>353</v>
      </c>
      <c r="T31" s="107"/>
    </row>
    <row r="32" spans="1:20" ht="27" customHeight="1">
      <c r="A32" s="107"/>
      <c r="B32" s="59" t="s">
        <v>162</v>
      </c>
      <c r="C32" s="121">
        <f ca="1">C30*C31</f>
        <v>5.9806457874491912</v>
      </c>
      <c r="D32" s="121"/>
      <c r="E32" s="121">
        <f ca="1">E30*E31</f>
        <v>5.412287889702692</v>
      </c>
      <c r="F32" s="121"/>
      <c r="G32" s="121">
        <f ca="1">G30*G31</f>
        <v>5.9288643298044166</v>
      </c>
      <c r="H32" s="121"/>
      <c r="I32" s="121">
        <f ca="1">I30*I31</f>
        <v>1.6189317846188249</v>
      </c>
      <c r="J32" s="107"/>
      <c r="K32" s="107"/>
      <c r="M32" s="41" t="s">
        <v>318</v>
      </c>
      <c r="N32" s="46">
        <f>C3-1</f>
        <v>3</v>
      </c>
      <c r="O32" s="41">
        <f ca="1">SUMSQ(C11:I11)/E3-K11^2/K14</f>
        <v>2417.1999999999971</v>
      </c>
      <c r="P32" s="41">
        <f ca="1">O32/N32</f>
        <v>805.73333333333233</v>
      </c>
      <c r="Q32" s="292">
        <f ca="1">P32/P33</f>
        <v>48.319840079959434</v>
      </c>
      <c r="R32" s="292">
        <f>FINV(G3,N32,N33)</f>
        <v>3.2388715223610909</v>
      </c>
      <c r="S32" s="64" t="str">
        <f ca="1">IF(Q32&gt;R32,"Reject", "Don't reject")</f>
        <v>Reject</v>
      </c>
      <c r="T32" s="107"/>
    </row>
    <row r="33" spans="1:20" ht="27" customHeight="1">
      <c r="A33" s="107"/>
      <c r="B33" s="56" t="s">
        <v>436</v>
      </c>
      <c r="C33" s="119">
        <f ca="1">C12+C32</f>
        <v>97.780645787449188</v>
      </c>
      <c r="D33" s="119"/>
      <c r="E33" s="119">
        <f ca="1">E12+E32</f>
        <v>85.412287889702696</v>
      </c>
      <c r="F33" s="119"/>
      <c r="G33" s="119">
        <f ca="1">G12+G32</f>
        <v>75.328864329804418</v>
      </c>
      <c r="H33" s="119"/>
      <c r="I33" s="119">
        <f ca="1">I12+I32</f>
        <v>64.41893178461882</v>
      </c>
      <c r="J33" s="107"/>
      <c r="K33" s="107"/>
      <c r="M33" s="41" t="s">
        <v>319</v>
      </c>
      <c r="N33" s="46">
        <f>C3*(E3-1)</f>
        <v>16</v>
      </c>
      <c r="O33" s="41">
        <f ca="1">SUMSQ(C6:I10)-SUMSQ(C11:I11)/E3</f>
        <v>266.80000000000291</v>
      </c>
      <c r="P33" s="41">
        <f ca="1">O33/N33</f>
        <v>16.675000000000182</v>
      </c>
      <c r="Q33" s="41"/>
      <c r="R33" s="41"/>
      <c r="S33" s="107"/>
      <c r="T33" s="107"/>
    </row>
    <row r="34" spans="1:20" ht="27" customHeight="1">
      <c r="A34" s="107"/>
      <c r="B34" s="56" t="s">
        <v>437</v>
      </c>
      <c r="C34" s="119">
        <f ca="1">C12-C32</f>
        <v>85.819354212550806</v>
      </c>
      <c r="D34" s="119"/>
      <c r="E34" s="119">
        <f ca="1">E12-E32</f>
        <v>74.587712110297304</v>
      </c>
      <c r="F34" s="119"/>
      <c r="G34" s="119">
        <f ca="1">G12-G32</f>
        <v>63.471135670195586</v>
      </c>
      <c r="H34" s="119"/>
      <c r="I34" s="119">
        <f ca="1">I12-I32</f>
        <v>61.181068215381174</v>
      </c>
      <c r="J34" s="107"/>
      <c r="K34" s="107"/>
      <c r="M34" s="112" t="s">
        <v>320</v>
      </c>
      <c r="N34" s="111">
        <f>N32+N33</f>
        <v>19</v>
      </c>
      <c r="O34" s="112">
        <f ca="1">O32+O33</f>
        <v>2684</v>
      </c>
      <c r="P34" s="112"/>
      <c r="Q34" s="112"/>
      <c r="R34" s="112"/>
      <c r="S34" s="107"/>
      <c r="T34" s="107"/>
    </row>
    <row r="50" spans="2:11" ht="27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</row>
  </sheetData>
  <sheetCalcPr fullCalcOnLoad="1"/>
  <mergeCells count="5">
    <mergeCell ref="B5:C5"/>
    <mergeCell ref="D5:E5"/>
    <mergeCell ref="F5:G5"/>
    <mergeCell ref="H5:I5"/>
    <mergeCell ref="B4:I4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5"/>
  <sheetViews>
    <sheetView topLeftCell="A2" zoomScale="125" zoomScaleNormal="125" zoomScalePageLayoutView="125" workbookViewId="0">
      <selection activeCell="B6" sqref="B6"/>
    </sheetView>
  </sheetViews>
  <sheetFormatPr baseColWidth="10" defaultColWidth="7.09765625" defaultRowHeight="16" customHeight="1"/>
  <cols>
    <col min="1" max="1" width="7.19921875" style="349" customWidth="1"/>
    <col min="2" max="5" width="9.296875" style="349" customWidth="1"/>
    <col min="6" max="6" width="7" style="349" customWidth="1"/>
    <col min="7" max="8" width="7.09765625" style="349"/>
    <col min="9" max="9" width="7.19921875" style="349" customWidth="1"/>
    <col min="10" max="13" width="9.296875" style="349" customWidth="1"/>
    <col min="14" max="14" width="7" style="349" customWidth="1"/>
    <col min="15" max="16384" width="7.09765625" style="349"/>
  </cols>
  <sheetData>
    <row r="1" spans="1:23" s="367" customFormat="1" ht="34" customHeight="1">
      <c r="A1" s="436" t="s">
        <v>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23" s="367" customFormat="1" ht="34" customHeight="1">
      <c r="C2" s="438" t="s">
        <v>9</v>
      </c>
      <c r="D2" s="438"/>
      <c r="K2" s="438" t="s">
        <v>10</v>
      </c>
      <c r="L2" s="438"/>
    </row>
    <row r="3" spans="1:23" s="367" customFormat="1" ht="21" customHeight="1">
      <c r="B3" s="418" t="s">
        <v>256</v>
      </c>
      <c r="C3" s="418" t="s">
        <v>410</v>
      </c>
      <c r="D3" s="418" t="s">
        <v>258</v>
      </c>
      <c r="E3" s="418" t="s">
        <v>259</v>
      </c>
      <c r="F3" s="370"/>
      <c r="G3" s="376" t="s">
        <v>231</v>
      </c>
      <c r="H3" s="377">
        <v>5</v>
      </c>
      <c r="I3" s="370"/>
      <c r="J3" s="418" t="s">
        <v>256</v>
      </c>
      <c r="K3" s="418" t="s">
        <v>257</v>
      </c>
      <c r="L3" s="418" t="s">
        <v>258</v>
      </c>
      <c r="M3" s="418" t="s">
        <v>259</v>
      </c>
    </row>
    <row r="4" spans="1:23" ht="19" customHeight="1">
      <c r="B4" s="419" t="s">
        <v>151</v>
      </c>
      <c r="C4" s="419" t="s">
        <v>152</v>
      </c>
      <c r="D4" s="419" t="s">
        <v>229</v>
      </c>
      <c r="E4" s="419" t="s">
        <v>230</v>
      </c>
      <c r="F4" s="368"/>
      <c r="I4" s="369"/>
      <c r="J4" s="423" t="s">
        <v>112</v>
      </c>
      <c r="K4" s="423" t="s">
        <v>113</v>
      </c>
      <c r="L4" s="423" t="s">
        <v>114</v>
      </c>
      <c r="M4" s="423" t="s">
        <v>111</v>
      </c>
      <c r="N4" s="352"/>
      <c r="O4" s="351"/>
      <c r="U4" s="352" t="s">
        <v>202</v>
      </c>
      <c r="V4" s="348">
        <f>(6*H8)/49</f>
        <v>0.21904339371426512</v>
      </c>
    </row>
    <row r="5" spans="1:23" ht="19" customHeight="1">
      <c r="B5" s="420">
        <v>60</v>
      </c>
      <c r="C5" s="420">
        <v>70</v>
      </c>
      <c r="D5" s="420">
        <v>80</v>
      </c>
      <c r="E5" s="420">
        <v>90</v>
      </c>
      <c r="F5" s="366">
        <v>85</v>
      </c>
      <c r="G5" s="370"/>
      <c r="H5" s="370"/>
      <c r="I5" s="371"/>
      <c r="J5" s="420">
        <f>AVERAGE(B5:F5)</f>
        <v>77</v>
      </c>
      <c r="K5" s="420">
        <f>J5</f>
        <v>77</v>
      </c>
      <c r="L5" s="420">
        <f>J5</f>
        <v>77</v>
      </c>
      <c r="M5" s="420">
        <f>J5</f>
        <v>77</v>
      </c>
      <c r="N5" s="352"/>
      <c r="O5" s="348"/>
      <c r="R5" s="353"/>
      <c r="S5" s="437" t="s">
        <v>7</v>
      </c>
      <c r="T5" s="437"/>
      <c r="U5" s="437"/>
      <c r="V5" s="437"/>
      <c r="W5" s="349" t="s">
        <v>8</v>
      </c>
    </row>
    <row r="6" spans="1:23" ht="21" customHeight="1">
      <c r="B6" s="370"/>
      <c r="C6" s="365"/>
      <c r="D6" s="368"/>
      <c r="E6" s="365" t="s">
        <v>350</v>
      </c>
      <c r="F6" s="368"/>
      <c r="G6" s="421" t="s">
        <v>232</v>
      </c>
      <c r="H6" s="422">
        <v>4</v>
      </c>
      <c r="I6" s="366"/>
      <c r="J6" s="372"/>
      <c r="K6" s="370"/>
      <c r="L6" s="370"/>
      <c r="M6" s="370"/>
      <c r="N6" s="352"/>
      <c r="O6" s="350"/>
      <c r="Q6" s="355"/>
      <c r="R6" s="363" t="s">
        <v>203</v>
      </c>
      <c r="S6" s="364" t="s">
        <v>3</v>
      </c>
      <c r="T6" s="364" t="s">
        <v>4</v>
      </c>
      <c r="U6" s="364" t="s">
        <v>5</v>
      </c>
      <c r="V6" s="364" t="s">
        <v>6</v>
      </c>
    </row>
    <row r="7" spans="1:23" ht="20" customHeight="1">
      <c r="B7" s="416" t="s">
        <v>233</v>
      </c>
      <c r="C7" s="416" t="s">
        <v>0</v>
      </c>
      <c r="D7" s="416" t="s">
        <v>404</v>
      </c>
      <c r="E7" s="416" t="s">
        <v>405</v>
      </c>
      <c r="F7" s="370"/>
      <c r="G7" s="421" t="s">
        <v>406</v>
      </c>
      <c r="H7" s="422">
        <f>H6^2</f>
        <v>16</v>
      </c>
      <c r="I7" s="370"/>
      <c r="J7" s="416" t="s">
        <v>407</v>
      </c>
      <c r="K7" s="416" t="s">
        <v>403</v>
      </c>
      <c r="L7" s="416" t="s">
        <v>404</v>
      </c>
      <c r="M7" s="416" t="s">
        <v>405</v>
      </c>
      <c r="N7" s="348"/>
      <c r="O7" s="348"/>
      <c r="Q7" s="355"/>
      <c r="R7" s="360">
        <f t="shared" ref="R7:R38" si="0">NORMDIST(S7,B$5,$H$8,FALSE)</f>
        <v>2.4774785787669775E-3</v>
      </c>
      <c r="S7" s="354">
        <f>B$5-3*$H$8</f>
        <v>54.633436854000507</v>
      </c>
      <c r="T7" s="354">
        <f>C$5-3*$H$8</f>
        <v>64.633436854000507</v>
      </c>
      <c r="U7" s="354">
        <f>D$5-3*$H$8</f>
        <v>74.633436854000507</v>
      </c>
      <c r="V7" s="354">
        <f>E$5-3*$H$8</f>
        <v>84.633436854000507</v>
      </c>
      <c r="W7" s="349">
        <f>AVERAGE(S7:V7)</f>
        <v>69.633436854000507</v>
      </c>
    </row>
    <row r="8" spans="1:23" ht="20" customHeight="1">
      <c r="B8" s="417">
        <f ca="1">NORMINV(RAND(),B$5,$H$8)</f>
        <v>61.637846630171026</v>
      </c>
      <c r="C8" s="417">
        <f ca="1">NORMINV(RAND(),C$5,$H$8)</f>
        <v>70.321573206966221</v>
      </c>
      <c r="D8" s="417">
        <f ca="1">NORMINV(RAND(),D$5,$H$8)</f>
        <v>78.505395281050767</v>
      </c>
      <c r="E8" s="417">
        <f ca="1">NORMINV(RAND(),E$5,$H$8)</f>
        <v>87.418606799455759</v>
      </c>
      <c r="F8" s="370"/>
      <c r="G8" s="421" t="s">
        <v>408</v>
      </c>
      <c r="H8" s="422">
        <f>H6/SQRT(H3)</f>
        <v>1.7888543819998317</v>
      </c>
      <c r="I8" s="373"/>
      <c r="J8" s="417">
        <f ca="1">NORMINV(RAND(),J$5,$H$8)</f>
        <v>76.326593305240749</v>
      </c>
      <c r="K8" s="417">
        <f t="shared" ref="K8:M8" ca="1" si="1">NORMINV(RAND(),K$5,$H$8)</f>
        <v>77.606084427766334</v>
      </c>
      <c r="L8" s="417">
        <f t="shared" ca="1" si="1"/>
        <v>80.52585556146343</v>
      </c>
      <c r="M8" s="417">
        <f t="shared" ca="1" si="1"/>
        <v>77.954996337205657</v>
      </c>
      <c r="N8" s="348"/>
      <c r="O8" s="351"/>
      <c r="Q8" s="355"/>
      <c r="R8" s="360">
        <f t="shared" si="0"/>
        <v>3.5505105262134376E-3</v>
      </c>
      <c r="S8" s="354">
        <f t="shared" ref="S8:S55" si="2">S7+$V$4</f>
        <v>54.852480247714773</v>
      </c>
      <c r="T8" s="354">
        <f t="shared" ref="T8:V23" si="3">T7+$V$4</f>
        <v>64.852480247714766</v>
      </c>
      <c r="U8" s="354">
        <f t="shared" si="3"/>
        <v>74.852480247714766</v>
      </c>
      <c r="V8" s="354">
        <f t="shared" si="3"/>
        <v>84.852480247714766</v>
      </c>
      <c r="W8" s="349">
        <f t="shared" ref="W8:W55" si="4">AVERAGE(S8:V8)</f>
        <v>69.852480247714766</v>
      </c>
    </row>
    <row r="9" spans="1:23" ht="16" customHeight="1">
      <c r="C9" s="352"/>
      <c r="D9" s="356"/>
      <c r="E9" s="352"/>
      <c r="F9" s="356"/>
      <c r="G9" s="352"/>
      <c r="H9" s="356"/>
      <c r="I9" s="352"/>
      <c r="J9" s="356"/>
      <c r="K9" s="350"/>
      <c r="L9" s="350"/>
      <c r="N9" s="348"/>
      <c r="O9" s="358"/>
      <c r="Q9" s="355"/>
      <c r="R9" s="360">
        <f t="shared" si="0"/>
        <v>5.0125647648597248E-3</v>
      </c>
      <c r="S9" s="354">
        <f t="shared" si="2"/>
        <v>55.071523641429039</v>
      </c>
      <c r="T9" s="354">
        <f t="shared" si="3"/>
        <v>65.071523641429025</v>
      </c>
      <c r="U9" s="354">
        <f t="shared" si="3"/>
        <v>75.071523641429025</v>
      </c>
      <c r="V9" s="354">
        <f t="shared" si="3"/>
        <v>85.071523641429025</v>
      </c>
      <c r="W9" s="349">
        <f t="shared" si="4"/>
        <v>70.071523641429025</v>
      </c>
    </row>
    <row r="10" spans="1:23" ht="16" customHeight="1">
      <c r="D10" s="356"/>
      <c r="E10" s="352"/>
      <c r="F10" s="356"/>
      <c r="G10" s="352"/>
      <c r="H10" s="356"/>
      <c r="I10" s="352"/>
      <c r="L10" s="350"/>
      <c r="N10" s="352"/>
      <c r="O10" s="351"/>
      <c r="R10" s="360">
        <f t="shared" si="0"/>
        <v>6.9713596012204535E-3</v>
      </c>
      <c r="S10" s="354">
        <f t="shared" si="2"/>
        <v>55.290567035143305</v>
      </c>
      <c r="T10" s="354">
        <f t="shared" si="3"/>
        <v>65.290567035143283</v>
      </c>
      <c r="U10" s="354">
        <f t="shared" si="3"/>
        <v>75.290567035143283</v>
      </c>
      <c r="V10" s="354">
        <f t="shared" si="3"/>
        <v>85.290567035143283</v>
      </c>
      <c r="W10" s="349">
        <f t="shared" si="4"/>
        <v>70.290567035143283</v>
      </c>
    </row>
    <row r="11" spans="1:23" ht="16" customHeight="1">
      <c r="D11" s="356"/>
      <c r="E11" s="352"/>
      <c r="F11" s="356"/>
      <c r="G11" s="352"/>
      <c r="H11" s="356"/>
      <c r="I11" s="352"/>
      <c r="L11" s="350"/>
      <c r="N11" s="352"/>
      <c r="O11" s="351"/>
      <c r="R11" s="360">
        <f t="shared" si="0"/>
        <v>9.5513172331317866E-3</v>
      </c>
      <c r="S11" s="354">
        <f t="shared" si="2"/>
        <v>55.50961042885757</v>
      </c>
      <c r="T11" s="354">
        <f t="shared" si="3"/>
        <v>65.509610428857542</v>
      </c>
      <c r="U11" s="354">
        <f t="shared" si="3"/>
        <v>75.509610428857542</v>
      </c>
      <c r="V11" s="354">
        <f t="shared" si="3"/>
        <v>85.509610428857542</v>
      </c>
      <c r="W11" s="349">
        <f t="shared" si="4"/>
        <v>70.509610428857542</v>
      </c>
    </row>
    <row r="12" spans="1:23" ht="16" customHeight="1">
      <c r="D12" s="356"/>
      <c r="E12" s="352"/>
      <c r="F12" s="356"/>
      <c r="G12" s="352"/>
      <c r="H12" s="356"/>
      <c r="I12" s="352"/>
      <c r="L12" s="350"/>
      <c r="R12" s="360">
        <f t="shared" si="0"/>
        <v>1.2891318846749038E-2</v>
      </c>
      <c r="S12" s="354">
        <f t="shared" si="2"/>
        <v>55.728653822571836</v>
      </c>
      <c r="T12" s="354">
        <f t="shared" si="3"/>
        <v>65.7286538225718</v>
      </c>
      <c r="U12" s="354">
        <f t="shared" si="3"/>
        <v>75.7286538225718</v>
      </c>
      <c r="V12" s="354">
        <f t="shared" si="3"/>
        <v>85.7286538225718</v>
      </c>
      <c r="W12" s="349">
        <f t="shared" si="4"/>
        <v>70.7286538225718</v>
      </c>
    </row>
    <row r="13" spans="1:23" ht="16" customHeight="1">
      <c r="C13" s="352"/>
      <c r="D13" s="356"/>
      <c r="E13" s="352"/>
      <c r="F13" s="356"/>
      <c r="G13" s="352"/>
      <c r="H13" s="356"/>
      <c r="I13" s="352"/>
      <c r="J13" s="356"/>
      <c r="K13" s="350"/>
      <c r="L13" s="350"/>
      <c r="R13" s="360">
        <f t="shared" si="0"/>
        <v>1.7140351605040575E-2</v>
      </c>
      <c r="S13" s="354">
        <f t="shared" si="2"/>
        <v>55.947697216286102</v>
      </c>
      <c r="T13" s="354">
        <f t="shared" si="3"/>
        <v>65.947697216286059</v>
      </c>
      <c r="U13" s="354">
        <f t="shared" si="3"/>
        <v>75.947697216286059</v>
      </c>
      <c r="V13" s="354">
        <f t="shared" si="3"/>
        <v>85.947697216286059</v>
      </c>
      <c r="W13" s="349">
        <f t="shared" si="4"/>
        <v>70.947697216286059</v>
      </c>
    </row>
    <row r="14" spans="1:23" ht="16" customHeight="1">
      <c r="C14" s="352"/>
      <c r="D14" s="356"/>
      <c r="E14" s="352"/>
      <c r="F14" s="356"/>
      <c r="G14" s="352"/>
      <c r="H14" s="356"/>
      <c r="I14" s="352"/>
      <c r="J14" s="356"/>
      <c r="K14" s="352"/>
      <c r="L14" s="350"/>
      <c r="R14" s="360">
        <f t="shared" si="0"/>
        <v>2.2450726478924328E-2</v>
      </c>
      <c r="S14" s="354">
        <f t="shared" si="2"/>
        <v>56.166740610000367</v>
      </c>
      <c r="T14" s="354">
        <f t="shared" si="3"/>
        <v>66.166740610000318</v>
      </c>
      <c r="U14" s="354">
        <f t="shared" si="3"/>
        <v>76.166740610000318</v>
      </c>
      <c r="V14" s="354">
        <f t="shared" si="3"/>
        <v>86.166740610000318</v>
      </c>
      <c r="W14" s="349">
        <f t="shared" si="4"/>
        <v>71.166740610000332</v>
      </c>
    </row>
    <row r="15" spans="1:23" ht="16" customHeight="1">
      <c r="C15" s="352"/>
      <c r="D15" s="357"/>
      <c r="E15" s="352"/>
      <c r="F15" s="357"/>
      <c r="G15" s="352"/>
      <c r="H15" s="357"/>
      <c r="I15" s="352"/>
      <c r="J15" s="357"/>
      <c r="K15" s="352"/>
      <c r="L15" s="358"/>
      <c r="R15" s="360">
        <f t="shared" si="0"/>
        <v>2.8968724073384744E-2</v>
      </c>
      <c r="S15" s="354">
        <f t="shared" si="2"/>
        <v>56.385784003714633</v>
      </c>
      <c r="T15" s="354">
        <f t="shared" si="3"/>
        <v>66.385784003714576</v>
      </c>
      <c r="U15" s="354">
        <f t="shared" si="3"/>
        <v>76.385784003714576</v>
      </c>
      <c r="V15" s="354">
        <f t="shared" si="3"/>
        <v>86.385784003714576</v>
      </c>
      <c r="W15" s="349">
        <f t="shared" si="4"/>
        <v>71.385784003714591</v>
      </c>
    </row>
    <row r="16" spans="1:23" ht="16" customHeight="1">
      <c r="C16" s="352"/>
      <c r="R16" s="360">
        <f t="shared" si="0"/>
        <v>3.6822784935369009E-2</v>
      </c>
      <c r="S16" s="354">
        <f t="shared" si="2"/>
        <v>56.604827397428899</v>
      </c>
      <c r="T16" s="354">
        <f t="shared" si="3"/>
        <v>66.604827397428835</v>
      </c>
      <c r="U16" s="354">
        <f t="shared" si="3"/>
        <v>76.604827397428835</v>
      </c>
      <c r="V16" s="354">
        <f t="shared" si="3"/>
        <v>86.604827397428835</v>
      </c>
      <c r="W16" s="349">
        <f t="shared" si="4"/>
        <v>71.604827397428849</v>
      </c>
    </row>
    <row r="17" spans="3:23" ht="16" customHeight="1">
      <c r="C17" s="352"/>
      <c r="D17" s="356"/>
      <c r="F17" s="356"/>
      <c r="H17" s="356"/>
      <c r="J17" s="356"/>
      <c r="K17" s="352"/>
      <c r="L17" s="350"/>
      <c r="R17" s="360">
        <f t="shared" si="0"/>
        <v>4.6109688862620825E-2</v>
      </c>
      <c r="S17" s="354">
        <f t="shared" si="2"/>
        <v>56.823870791143165</v>
      </c>
      <c r="T17" s="354">
        <f t="shared" si="3"/>
        <v>66.823870791143094</v>
      </c>
      <c r="U17" s="354">
        <f t="shared" si="3"/>
        <v>76.823870791143094</v>
      </c>
      <c r="V17" s="354">
        <f t="shared" si="3"/>
        <v>86.823870791143094</v>
      </c>
      <c r="W17" s="349">
        <f t="shared" si="4"/>
        <v>71.823870791143122</v>
      </c>
    </row>
    <row r="18" spans="3:23" ht="16" customHeight="1">
      <c r="C18" s="359"/>
      <c r="D18" s="357"/>
      <c r="E18" s="357"/>
      <c r="F18" s="357"/>
      <c r="G18" s="357"/>
      <c r="H18" s="357"/>
      <c r="I18" s="357"/>
      <c r="J18" s="357"/>
      <c r="K18" s="359"/>
      <c r="L18" s="348"/>
      <c r="R18" s="360">
        <f t="shared" si="0"/>
        <v>5.6879536397114787E-2</v>
      </c>
      <c r="S18" s="354">
        <f t="shared" si="2"/>
        <v>57.04291418485743</v>
      </c>
      <c r="T18" s="354">
        <f t="shared" si="3"/>
        <v>67.042914184857352</v>
      </c>
      <c r="U18" s="354">
        <f t="shared" si="3"/>
        <v>77.042914184857352</v>
      </c>
      <c r="V18" s="354">
        <f t="shared" si="3"/>
        <v>87.042914184857352</v>
      </c>
      <c r="W18" s="349">
        <f t="shared" si="4"/>
        <v>72.042914184857381</v>
      </c>
    </row>
    <row r="19" spans="3:23" ht="16" customHeight="1">
      <c r="C19" s="352"/>
      <c r="D19" s="356"/>
      <c r="F19" s="356"/>
      <c r="H19" s="356"/>
      <c r="J19" s="356"/>
      <c r="K19" s="352"/>
      <c r="L19" s="350"/>
      <c r="R19" s="360">
        <f t="shared" si="0"/>
        <v>6.91207115431242E-2</v>
      </c>
      <c r="S19" s="354">
        <f t="shared" si="2"/>
        <v>57.261957578571696</v>
      </c>
      <c r="T19" s="354">
        <f t="shared" si="3"/>
        <v>67.261957578571611</v>
      </c>
      <c r="U19" s="354">
        <f t="shared" si="3"/>
        <v>77.261957578571611</v>
      </c>
      <c r="V19" s="354">
        <f t="shared" si="3"/>
        <v>87.261957578571611</v>
      </c>
      <c r="W19" s="349">
        <f t="shared" si="4"/>
        <v>72.261957578571639</v>
      </c>
    </row>
    <row r="20" spans="3:23" ht="16" customHeight="1">
      <c r="C20" s="352"/>
      <c r="D20" s="360"/>
      <c r="E20" s="360"/>
      <c r="F20" s="360"/>
      <c r="G20" s="360"/>
      <c r="H20" s="360"/>
      <c r="I20" s="360"/>
      <c r="J20" s="360"/>
      <c r="K20" s="352"/>
      <c r="L20" s="348"/>
      <c r="R20" s="360">
        <f t="shared" si="0"/>
        <v>8.2746312389542498E-2</v>
      </c>
      <c r="S20" s="354">
        <f t="shared" si="2"/>
        <v>57.481000972285962</v>
      </c>
      <c r="T20" s="354">
        <f t="shared" si="3"/>
        <v>67.481000972285869</v>
      </c>
      <c r="U20" s="354">
        <f t="shared" si="3"/>
        <v>77.481000972285869</v>
      </c>
      <c r="V20" s="354">
        <f t="shared" si="3"/>
        <v>87.481000972285869</v>
      </c>
      <c r="W20" s="349">
        <f t="shared" si="4"/>
        <v>72.481000972285898</v>
      </c>
    </row>
    <row r="21" spans="3:23" ht="16" customHeight="1">
      <c r="C21" s="352"/>
      <c r="D21" s="360"/>
      <c r="E21" s="360"/>
      <c r="F21" s="360"/>
      <c r="G21" s="360"/>
      <c r="H21" s="360"/>
      <c r="I21" s="360"/>
      <c r="J21" s="360"/>
      <c r="R21" s="360">
        <f t="shared" si="0"/>
        <v>9.7583725113639774E-2</v>
      </c>
      <c r="S21" s="354">
        <f t="shared" si="2"/>
        <v>57.700044366000228</v>
      </c>
      <c r="T21" s="354">
        <f t="shared" si="3"/>
        <v>67.700044366000128</v>
      </c>
      <c r="U21" s="354">
        <f t="shared" si="3"/>
        <v>77.700044366000128</v>
      </c>
      <c r="V21" s="354">
        <f t="shared" si="3"/>
        <v>87.700044366000128</v>
      </c>
      <c r="W21" s="349">
        <f t="shared" si="4"/>
        <v>72.700044366000157</v>
      </c>
    </row>
    <row r="22" spans="3:23" ht="16" customHeight="1">
      <c r="C22" s="352"/>
      <c r="D22" s="360"/>
      <c r="E22" s="360"/>
      <c r="F22" s="360"/>
      <c r="G22" s="360"/>
      <c r="H22" s="360"/>
      <c r="I22" s="360"/>
      <c r="J22" s="360"/>
      <c r="R22" s="360">
        <f t="shared" si="0"/>
        <v>0.11336903053544689</v>
      </c>
      <c r="S22" s="354">
        <f t="shared" si="2"/>
        <v>57.919087759714493</v>
      </c>
      <c r="T22" s="354">
        <f t="shared" si="3"/>
        <v>67.919087759714387</v>
      </c>
      <c r="U22" s="354">
        <f t="shared" si="3"/>
        <v>77.919087759714387</v>
      </c>
      <c r="V22" s="354">
        <f t="shared" si="3"/>
        <v>87.919087759714387</v>
      </c>
      <c r="W22" s="349">
        <f t="shared" si="4"/>
        <v>72.919087759714415</v>
      </c>
    </row>
    <row r="23" spans="3:23" ht="16" customHeight="1">
      <c r="C23" s="352"/>
      <c r="D23" s="360"/>
      <c r="E23" s="360"/>
      <c r="F23" s="360"/>
      <c r="G23" s="360"/>
      <c r="H23" s="360"/>
      <c r="I23" s="360"/>
      <c r="J23" s="360"/>
      <c r="R23" s="360">
        <f t="shared" si="0"/>
        <v>0.12974773017884178</v>
      </c>
      <c r="S23" s="354">
        <f t="shared" si="2"/>
        <v>58.138131153428759</v>
      </c>
      <c r="T23" s="354">
        <f t="shared" si="3"/>
        <v>68.138131153428645</v>
      </c>
      <c r="U23" s="354">
        <f t="shared" si="3"/>
        <v>78.138131153428645</v>
      </c>
      <c r="V23" s="354">
        <f t="shared" si="3"/>
        <v>88.138131153428645</v>
      </c>
      <c r="W23" s="349">
        <f t="shared" si="4"/>
        <v>73.138131153428674</v>
      </c>
    </row>
    <row r="24" spans="3:23" ht="16" customHeight="1">
      <c r="C24" s="352"/>
      <c r="D24" s="360"/>
      <c r="E24" s="360"/>
      <c r="F24" s="360"/>
      <c r="G24" s="360"/>
      <c r="H24" s="360"/>
      <c r="I24" s="360"/>
      <c r="J24" s="360"/>
      <c r="R24" s="360">
        <f t="shared" si="0"/>
        <v>0.14628284599750019</v>
      </c>
      <c r="S24" s="354">
        <f t="shared" si="2"/>
        <v>58.357174547143025</v>
      </c>
      <c r="T24" s="354">
        <f t="shared" ref="T24:V39" si="5">T23+$V$4</f>
        <v>68.357174547142904</v>
      </c>
      <c r="U24" s="354">
        <f t="shared" si="5"/>
        <v>78.357174547142904</v>
      </c>
      <c r="V24" s="354">
        <f t="shared" si="5"/>
        <v>88.357174547142904</v>
      </c>
      <c r="W24" s="349">
        <f t="shared" si="4"/>
        <v>73.357174547142932</v>
      </c>
    </row>
    <row r="25" spans="3:23" ht="16" customHeight="1">
      <c r="C25" s="348"/>
      <c r="L25" s="361"/>
      <c r="R25" s="360">
        <f t="shared" si="0"/>
        <v>0.1624708038698951</v>
      </c>
      <c r="S25" s="354">
        <f t="shared" si="2"/>
        <v>58.576217940857291</v>
      </c>
      <c r="T25" s="354">
        <f t="shared" si="5"/>
        <v>68.576217940857163</v>
      </c>
      <c r="U25" s="354">
        <f t="shared" si="5"/>
        <v>78.576217940857163</v>
      </c>
      <c r="V25" s="354">
        <f t="shared" si="5"/>
        <v>88.576217940857163</v>
      </c>
      <c r="W25" s="349">
        <f t="shared" si="4"/>
        <v>73.576217940857191</v>
      </c>
    </row>
    <row r="26" spans="3:23" ht="16" customHeight="1">
      <c r="C26" s="352"/>
      <c r="D26" s="360"/>
      <c r="E26" s="360"/>
      <c r="F26" s="360"/>
      <c r="G26" s="360"/>
      <c r="H26" s="360"/>
      <c r="I26" s="360"/>
      <c r="J26" s="360"/>
      <c r="R26" s="360">
        <f t="shared" si="0"/>
        <v>0.17776471192218346</v>
      </c>
      <c r="S26" s="354">
        <f t="shared" si="2"/>
        <v>58.795261334571556</v>
      </c>
      <c r="T26" s="354">
        <f t="shared" si="5"/>
        <v>68.795261334571421</v>
      </c>
      <c r="U26" s="354">
        <f t="shared" si="5"/>
        <v>78.795261334571421</v>
      </c>
      <c r="V26" s="354">
        <f t="shared" si="5"/>
        <v>88.795261334571421</v>
      </c>
      <c r="W26" s="349">
        <f t="shared" si="4"/>
        <v>73.79526133457145</v>
      </c>
    </row>
    <row r="27" spans="3:23" ht="16" customHeight="1">
      <c r="C27" s="352"/>
      <c r="D27" s="360"/>
      <c r="F27" s="360"/>
      <c r="H27" s="360"/>
      <c r="J27" s="360"/>
      <c r="R27" s="360">
        <f t="shared" si="0"/>
        <v>0.19160378034968001</v>
      </c>
      <c r="S27" s="354">
        <f t="shared" si="2"/>
        <v>59.014304728285822</v>
      </c>
      <c r="T27" s="354">
        <f t="shared" si="5"/>
        <v>69.01430472828568</v>
      </c>
      <c r="U27" s="354">
        <f t="shared" si="5"/>
        <v>79.01430472828568</v>
      </c>
      <c r="V27" s="354">
        <f t="shared" si="5"/>
        <v>89.01430472828568</v>
      </c>
      <c r="W27" s="349">
        <f t="shared" si="4"/>
        <v>74.014304728285708</v>
      </c>
    </row>
    <row r="28" spans="3:23" ht="16" customHeight="1">
      <c r="C28" s="352"/>
      <c r="D28" s="354"/>
      <c r="E28" s="354"/>
      <c r="F28" s="354"/>
      <c r="G28" s="354"/>
      <c r="H28" s="354"/>
      <c r="I28" s="354"/>
      <c r="J28" s="354"/>
      <c r="R28" s="360">
        <f t="shared" si="0"/>
        <v>0.20344681231606204</v>
      </c>
      <c r="S28" s="354">
        <f t="shared" si="2"/>
        <v>59.233348122000088</v>
      </c>
      <c r="T28" s="354">
        <f t="shared" si="5"/>
        <v>69.233348121999938</v>
      </c>
      <c r="U28" s="354">
        <f t="shared" si="5"/>
        <v>79.233348121999938</v>
      </c>
      <c r="V28" s="354">
        <f t="shared" si="5"/>
        <v>89.233348121999938</v>
      </c>
      <c r="W28" s="349">
        <f t="shared" si="4"/>
        <v>74.233348121999967</v>
      </c>
    </row>
    <row r="29" spans="3:23" ht="16" customHeight="1">
      <c r="C29" s="352"/>
      <c r="D29" s="360"/>
      <c r="F29" s="360"/>
      <c r="H29" s="360"/>
      <c r="J29" s="360"/>
      <c r="R29" s="360">
        <f t="shared" si="0"/>
        <v>0.21280704518460941</v>
      </c>
      <c r="S29" s="354">
        <f t="shared" si="2"/>
        <v>59.452391515714353</v>
      </c>
      <c r="T29" s="354">
        <f t="shared" si="5"/>
        <v>69.452391515714197</v>
      </c>
      <c r="U29" s="354">
        <f t="shared" si="5"/>
        <v>79.452391515714197</v>
      </c>
      <c r="V29" s="354">
        <f t="shared" si="5"/>
        <v>89.452391515714197</v>
      </c>
      <c r="W29" s="349">
        <f t="shared" si="4"/>
        <v>74.45239151571424</v>
      </c>
    </row>
    <row r="30" spans="3:23" ht="16" customHeight="1">
      <c r="C30" s="352"/>
      <c r="D30" s="360"/>
      <c r="F30" s="360"/>
      <c r="H30" s="360"/>
      <c r="J30" s="360"/>
      <c r="R30" s="360">
        <f t="shared" si="0"/>
        <v>0.21928524462669113</v>
      </c>
      <c r="S30" s="354">
        <f t="shared" si="2"/>
        <v>59.671434909428619</v>
      </c>
      <c r="T30" s="354">
        <f t="shared" si="5"/>
        <v>69.671434909428456</v>
      </c>
      <c r="U30" s="354">
        <f t="shared" si="5"/>
        <v>79.671434909428456</v>
      </c>
      <c r="V30" s="354">
        <f t="shared" si="5"/>
        <v>89.671434909428456</v>
      </c>
      <c r="W30" s="349">
        <f t="shared" si="4"/>
        <v>74.671434909428498</v>
      </c>
    </row>
    <row r="31" spans="3:23" ht="21" customHeight="1">
      <c r="C31" s="365" t="s">
        <v>255</v>
      </c>
      <c r="D31" s="366">
        <f ca="1">VAR(B8:E8)*$H$3</f>
        <v>609.70739192972667</v>
      </c>
      <c r="I31" s="360"/>
      <c r="K31" s="365" t="s">
        <v>255</v>
      </c>
      <c r="L31" s="366">
        <f ca="1">VAR(J8:M8)*$H$3</f>
        <v>15.491132336810551</v>
      </c>
      <c r="R31" s="360">
        <f t="shared" si="0"/>
        <v>0.22259792603606671</v>
      </c>
      <c r="S31" s="354">
        <f t="shared" si="2"/>
        <v>59.890478303142885</v>
      </c>
      <c r="T31" s="354">
        <f t="shared" si="5"/>
        <v>69.890478303142714</v>
      </c>
      <c r="U31" s="354">
        <f t="shared" si="5"/>
        <v>79.890478303142714</v>
      </c>
      <c r="V31" s="354">
        <f t="shared" si="5"/>
        <v>89.890478303142714</v>
      </c>
      <c r="W31" s="349">
        <f t="shared" si="4"/>
        <v>74.890478303142757</v>
      </c>
    </row>
    <row r="32" spans="3:23" ht="25" customHeight="1" thickBot="1">
      <c r="C32" s="365" t="s">
        <v>254</v>
      </c>
      <c r="D32" s="366">
        <f>$H$6^2</f>
        <v>16</v>
      </c>
      <c r="E32" s="360"/>
      <c r="F32" s="360"/>
      <c r="G32" s="360"/>
      <c r="H32" s="360"/>
      <c r="I32" s="360"/>
      <c r="K32" s="365" t="s">
        <v>254</v>
      </c>
      <c r="L32" s="366">
        <f>$H$6^2</f>
        <v>16</v>
      </c>
      <c r="R32" s="360">
        <f t="shared" si="0"/>
        <v>0.22259792603606646</v>
      </c>
      <c r="S32" s="354">
        <f t="shared" si="2"/>
        <v>60.109521696857151</v>
      </c>
      <c r="T32" s="354">
        <f t="shared" si="5"/>
        <v>70.109521696856973</v>
      </c>
      <c r="U32" s="354">
        <f t="shared" si="5"/>
        <v>80.109521696856973</v>
      </c>
      <c r="V32" s="354">
        <f t="shared" si="5"/>
        <v>90.109521696856973</v>
      </c>
      <c r="W32" s="349">
        <f t="shared" si="4"/>
        <v>75.109521696857016</v>
      </c>
    </row>
    <row r="33" spans="3:23" ht="22" customHeight="1" thickBot="1">
      <c r="C33" s="374" t="s">
        <v>409</v>
      </c>
      <c r="D33" s="375">
        <f ca="1">D31/D32</f>
        <v>38.106711995607917</v>
      </c>
      <c r="E33" s="360"/>
      <c r="F33" s="360"/>
      <c r="G33" s="360"/>
      <c r="H33" s="360"/>
      <c r="I33" s="360"/>
      <c r="K33" s="374" t="s">
        <v>409</v>
      </c>
      <c r="L33" s="375">
        <f ca="1">L31/L32</f>
        <v>0.96819577105065946</v>
      </c>
      <c r="N33" s="348"/>
      <c r="R33" s="360">
        <f t="shared" si="0"/>
        <v>0.21928524462669033</v>
      </c>
      <c r="S33" s="354">
        <f>S32+$V$4</f>
        <v>60.328565090571416</v>
      </c>
      <c r="T33" s="354">
        <f>T32+$V$4</f>
        <v>70.328565090571232</v>
      </c>
      <c r="U33" s="354">
        <f>U32+$V$4</f>
        <v>80.328565090571232</v>
      </c>
      <c r="V33" s="354">
        <f>V32+$V$4</f>
        <v>90.328565090571232</v>
      </c>
      <c r="W33" s="349">
        <f t="shared" si="4"/>
        <v>75.328565090571274</v>
      </c>
    </row>
    <row r="34" spans="3:23" ht="26" customHeight="1">
      <c r="E34" s="360"/>
      <c r="F34" s="360"/>
      <c r="G34" s="360"/>
      <c r="H34" s="360"/>
      <c r="N34" s="348"/>
      <c r="R34" s="360">
        <f t="shared" si="0"/>
        <v>0.21280704518460811</v>
      </c>
      <c r="S34" s="354">
        <f t="shared" si="2"/>
        <v>60.547608484285682</v>
      </c>
      <c r="T34" s="354">
        <f t="shared" si="5"/>
        <v>70.54760848428549</v>
      </c>
      <c r="U34" s="354">
        <f t="shared" si="5"/>
        <v>80.54760848428549</v>
      </c>
      <c r="V34" s="354">
        <f t="shared" si="5"/>
        <v>90.54760848428549</v>
      </c>
      <c r="W34" s="349">
        <f t="shared" si="4"/>
        <v>75.547608484285547</v>
      </c>
    </row>
    <row r="35" spans="3:23" ht="30" customHeight="1">
      <c r="E35" s="354"/>
      <c r="F35" s="354"/>
      <c r="G35" s="354"/>
      <c r="H35" s="354"/>
      <c r="I35" s="354"/>
      <c r="N35" s="352"/>
      <c r="O35" s="362"/>
      <c r="P35" s="352"/>
      <c r="Q35" s="352"/>
      <c r="R35" s="360">
        <f t="shared" si="0"/>
        <v>0.20344681231606032</v>
      </c>
      <c r="S35" s="354">
        <f t="shared" si="2"/>
        <v>60.766651877999948</v>
      </c>
      <c r="T35" s="354">
        <f t="shared" si="5"/>
        <v>70.766651877999749</v>
      </c>
      <c r="U35" s="354">
        <f t="shared" si="5"/>
        <v>80.766651877999749</v>
      </c>
      <c r="V35" s="354">
        <f t="shared" si="5"/>
        <v>90.766651877999749</v>
      </c>
      <c r="W35" s="349">
        <f t="shared" si="4"/>
        <v>75.766651877999806</v>
      </c>
    </row>
    <row r="36" spans="3:23" ht="17" customHeight="1">
      <c r="C36" s="352"/>
      <c r="D36" s="357"/>
      <c r="E36" s="357"/>
      <c r="F36" s="357"/>
      <c r="G36" s="357"/>
      <c r="H36" s="357"/>
      <c r="I36" s="357"/>
      <c r="J36" s="357"/>
      <c r="N36" s="352"/>
      <c r="O36" s="362"/>
      <c r="P36" s="352"/>
      <c r="Q36" s="352"/>
      <c r="R36" s="360">
        <f t="shared" si="0"/>
        <v>0.19160378034967793</v>
      </c>
      <c r="S36" s="354">
        <f>S35+$V$4</f>
        <v>60.985695271714214</v>
      </c>
      <c r="T36" s="354">
        <f>T35+$V$4</f>
        <v>70.985695271714008</v>
      </c>
      <c r="U36" s="354">
        <f>U35+$V$4</f>
        <v>80.985695271714008</v>
      </c>
      <c r="V36" s="354">
        <f>V35+$V$4</f>
        <v>90.985695271714008</v>
      </c>
      <c r="W36" s="349">
        <f t="shared" si="4"/>
        <v>75.985695271714064</v>
      </c>
    </row>
    <row r="37" spans="3:23" ht="17" customHeight="1">
      <c r="C37" s="352"/>
      <c r="D37" s="357"/>
      <c r="E37" s="357"/>
      <c r="F37" s="357"/>
      <c r="G37" s="357"/>
      <c r="H37" s="357"/>
      <c r="I37" s="357"/>
      <c r="J37" s="357"/>
      <c r="N37" s="348"/>
      <c r="O37" s="350"/>
      <c r="P37" s="348"/>
      <c r="Q37" s="348"/>
      <c r="R37" s="360">
        <f t="shared" si="0"/>
        <v>0.17776471192218107</v>
      </c>
      <c r="S37" s="354">
        <f t="shared" si="2"/>
        <v>61.204738665428479</v>
      </c>
      <c r="T37" s="354">
        <f t="shared" si="5"/>
        <v>71.204738665428266</v>
      </c>
      <c r="U37" s="354">
        <f t="shared" si="5"/>
        <v>81.204738665428266</v>
      </c>
      <c r="V37" s="354">
        <f t="shared" si="5"/>
        <v>91.204738665428266</v>
      </c>
      <c r="W37" s="349">
        <f t="shared" si="4"/>
        <v>76.204738665428323</v>
      </c>
    </row>
    <row r="38" spans="3:23" ht="16" customHeight="1">
      <c r="R38" s="360">
        <f t="shared" si="0"/>
        <v>0.16247080386989252</v>
      </c>
      <c r="S38" s="354">
        <f t="shared" si="2"/>
        <v>61.423782059142745</v>
      </c>
      <c r="T38" s="354">
        <f t="shared" si="5"/>
        <v>71.423782059142525</v>
      </c>
      <c r="U38" s="354">
        <f t="shared" si="5"/>
        <v>81.423782059142525</v>
      </c>
      <c r="V38" s="354">
        <f t="shared" si="5"/>
        <v>91.423782059142525</v>
      </c>
      <c r="W38" s="349">
        <f t="shared" si="4"/>
        <v>76.423782059142582</v>
      </c>
    </row>
    <row r="39" spans="3:23" ht="16" customHeight="1">
      <c r="R39" s="360">
        <f t="shared" ref="R39:R55" si="6">NORMDIST(S39,B$5,$H$8,FALSE)</f>
        <v>0.14628284599749752</v>
      </c>
      <c r="S39" s="354">
        <f t="shared" si="2"/>
        <v>61.642825452857011</v>
      </c>
      <c r="T39" s="354">
        <f t="shared" si="5"/>
        <v>71.642825452856783</v>
      </c>
      <c r="U39" s="354">
        <f t="shared" si="5"/>
        <v>81.642825452856783</v>
      </c>
      <c r="V39" s="354">
        <f t="shared" si="5"/>
        <v>91.642825452856783</v>
      </c>
      <c r="W39" s="349">
        <f t="shared" si="4"/>
        <v>76.64282545285684</v>
      </c>
    </row>
    <row r="40" spans="3:23" ht="16" customHeight="1">
      <c r="R40" s="360">
        <f t="shared" si="6"/>
        <v>0.12974773017883912</v>
      </c>
      <c r="S40" s="354">
        <f t="shared" si="2"/>
        <v>61.861868846571276</v>
      </c>
      <c r="T40" s="354">
        <f t="shared" ref="T40:V55" si="7">T39+$V$4</f>
        <v>71.861868846571042</v>
      </c>
      <c r="U40" s="354">
        <f t="shared" si="7"/>
        <v>81.861868846571042</v>
      </c>
      <c r="V40" s="354">
        <f t="shared" si="7"/>
        <v>91.861868846571042</v>
      </c>
      <c r="W40" s="349">
        <f t="shared" si="4"/>
        <v>76.861868846571099</v>
      </c>
    </row>
    <row r="41" spans="3:23" ht="16" customHeight="1">
      <c r="R41" s="360">
        <f t="shared" si="6"/>
        <v>0.11336903053544428</v>
      </c>
      <c r="S41" s="354">
        <f t="shared" si="2"/>
        <v>62.080912240285542</v>
      </c>
      <c r="T41" s="354">
        <f t="shared" si="7"/>
        <v>72.080912240285301</v>
      </c>
      <c r="U41" s="354">
        <f t="shared" si="7"/>
        <v>82.080912240285301</v>
      </c>
      <c r="V41" s="354">
        <f t="shared" si="7"/>
        <v>92.080912240285301</v>
      </c>
      <c r="W41" s="349">
        <f t="shared" si="4"/>
        <v>77.080912240285357</v>
      </c>
    </row>
    <row r="42" spans="3:23" ht="16" customHeight="1">
      <c r="R42" s="360">
        <f t="shared" si="6"/>
        <v>9.758372511363729E-2</v>
      </c>
      <c r="S42" s="354">
        <f t="shared" si="2"/>
        <v>62.299955633999808</v>
      </c>
      <c r="T42" s="354">
        <f t="shared" si="7"/>
        <v>72.299955633999559</v>
      </c>
      <c r="U42" s="354">
        <f t="shared" si="7"/>
        <v>82.299955633999559</v>
      </c>
      <c r="V42" s="354">
        <f t="shared" si="7"/>
        <v>92.299955633999559</v>
      </c>
      <c r="W42" s="349">
        <f t="shared" si="4"/>
        <v>77.299955633999616</v>
      </c>
    </row>
    <row r="43" spans="3:23" ht="16" customHeight="1">
      <c r="R43" s="360">
        <f t="shared" si="6"/>
        <v>8.2746312389540194E-2</v>
      </c>
      <c r="S43" s="354">
        <f t="shared" si="2"/>
        <v>62.518999027714074</v>
      </c>
      <c r="T43" s="354">
        <f t="shared" si="7"/>
        <v>72.518999027713818</v>
      </c>
      <c r="U43" s="354">
        <f t="shared" si="7"/>
        <v>82.518999027713818</v>
      </c>
      <c r="V43" s="354">
        <f t="shared" si="7"/>
        <v>92.518999027713818</v>
      </c>
      <c r="W43" s="349">
        <f t="shared" si="4"/>
        <v>77.518999027713875</v>
      </c>
    </row>
    <row r="44" spans="3:23" ht="16" customHeight="1">
      <c r="R44" s="360">
        <f t="shared" si="6"/>
        <v>6.9120711543122118E-2</v>
      </c>
      <c r="S44" s="354">
        <f t="shared" si="2"/>
        <v>62.738042421428339</v>
      </c>
      <c r="T44" s="354">
        <f t="shared" si="7"/>
        <v>72.738042421428077</v>
      </c>
      <c r="U44" s="354">
        <f t="shared" si="7"/>
        <v>82.738042421428077</v>
      </c>
      <c r="V44" s="354">
        <f t="shared" si="7"/>
        <v>92.738042421428077</v>
      </c>
      <c r="W44" s="349">
        <f t="shared" si="4"/>
        <v>77.738042421428133</v>
      </c>
    </row>
    <row r="45" spans="3:23" ht="16" customHeight="1">
      <c r="R45" s="360">
        <f t="shared" si="6"/>
        <v>5.6879536397112913E-2</v>
      </c>
      <c r="S45" s="354">
        <f t="shared" si="2"/>
        <v>62.957085815142605</v>
      </c>
      <c r="T45" s="354">
        <f t="shared" si="7"/>
        <v>72.957085815142335</v>
      </c>
      <c r="U45" s="354">
        <f t="shared" si="7"/>
        <v>82.957085815142335</v>
      </c>
      <c r="V45" s="354">
        <f t="shared" si="7"/>
        <v>92.957085815142335</v>
      </c>
      <c r="W45" s="349">
        <f t="shared" si="4"/>
        <v>77.957085815142406</v>
      </c>
    </row>
    <row r="46" spans="3:23" ht="16" customHeight="1">
      <c r="R46" s="360">
        <f t="shared" si="6"/>
        <v>4.6109688862619201E-2</v>
      </c>
      <c r="S46" s="354">
        <f t="shared" si="2"/>
        <v>63.176129208856871</v>
      </c>
      <c r="T46" s="354">
        <f t="shared" si="7"/>
        <v>73.176129208856594</v>
      </c>
      <c r="U46" s="354">
        <f t="shared" si="7"/>
        <v>83.176129208856594</v>
      </c>
      <c r="V46" s="354">
        <f t="shared" si="7"/>
        <v>93.176129208856594</v>
      </c>
      <c r="W46" s="349">
        <f t="shared" si="4"/>
        <v>78.176129208856665</v>
      </c>
    </row>
    <row r="47" spans="3:23" ht="16" customHeight="1">
      <c r="R47" s="360">
        <f t="shared" si="6"/>
        <v>3.6822784935367628E-2</v>
      </c>
      <c r="S47" s="354">
        <f t="shared" si="2"/>
        <v>63.395172602571137</v>
      </c>
      <c r="T47" s="354">
        <f t="shared" si="7"/>
        <v>73.395172602570852</v>
      </c>
      <c r="U47" s="354">
        <f t="shared" si="7"/>
        <v>83.395172602570852</v>
      </c>
      <c r="V47" s="354">
        <f t="shared" si="7"/>
        <v>93.395172602570852</v>
      </c>
      <c r="W47" s="349">
        <f t="shared" si="4"/>
        <v>78.395172602570923</v>
      </c>
    </row>
    <row r="48" spans="3:23" ht="16" customHeight="1">
      <c r="R48" s="360">
        <f t="shared" si="6"/>
        <v>2.8968724073383575E-2</v>
      </c>
      <c r="S48" s="354">
        <f t="shared" si="2"/>
        <v>63.614215996285402</v>
      </c>
      <c r="T48" s="354">
        <f t="shared" si="7"/>
        <v>73.614215996285111</v>
      </c>
      <c r="U48" s="354">
        <f t="shared" si="7"/>
        <v>83.614215996285111</v>
      </c>
      <c r="V48" s="354">
        <f t="shared" si="7"/>
        <v>93.614215996285111</v>
      </c>
      <c r="W48" s="349">
        <f t="shared" si="4"/>
        <v>78.614215996285182</v>
      </c>
    </row>
    <row r="49" spans="18:23" ht="16" customHeight="1">
      <c r="R49" s="360">
        <f t="shared" si="6"/>
        <v>2.2450726478923374E-2</v>
      </c>
      <c r="S49" s="354">
        <f t="shared" si="2"/>
        <v>63.833259389999668</v>
      </c>
      <c r="T49" s="354">
        <f t="shared" si="7"/>
        <v>73.83325938999937</v>
      </c>
      <c r="U49" s="354">
        <f t="shared" si="7"/>
        <v>83.83325938999937</v>
      </c>
      <c r="V49" s="354">
        <f t="shared" si="7"/>
        <v>93.83325938999937</v>
      </c>
      <c r="W49" s="349">
        <f t="shared" si="4"/>
        <v>78.833259389999441</v>
      </c>
    </row>
    <row r="50" spans="18:23" ht="16" customHeight="1">
      <c r="R50" s="360">
        <f t="shared" si="6"/>
        <v>1.7140351605039961E-2</v>
      </c>
      <c r="S50" s="354">
        <f t="shared" si="2"/>
        <v>64.052302783713927</v>
      </c>
      <c r="T50" s="354">
        <f t="shared" si="7"/>
        <v>74.052302783713628</v>
      </c>
      <c r="U50" s="354">
        <f t="shared" si="7"/>
        <v>84.052302783713628</v>
      </c>
      <c r="V50" s="354">
        <f t="shared" si="7"/>
        <v>94.052302783713628</v>
      </c>
      <c r="W50" s="349">
        <f t="shared" si="4"/>
        <v>79.052302783713699</v>
      </c>
    </row>
    <row r="51" spans="18:23" ht="16" customHeight="1">
      <c r="R51" s="360">
        <f t="shared" si="6"/>
        <v>1.2891318846748667E-2</v>
      </c>
      <c r="S51" s="354">
        <f t="shared" si="2"/>
        <v>64.271346177428185</v>
      </c>
      <c r="T51" s="354">
        <f t="shared" si="7"/>
        <v>74.271346177427887</v>
      </c>
      <c r="U51" s="354">
        <f t="shared" si="7"/>
        <v>84.271346177427887</v>
      </c>
      <c r="V51" s="354">
        <f t="shared" si="7"/>
        <v>94.271346177427887</v>
      </c>
      <c r="W51" s="349">
        <f t="shared" si="4"/>
        <v>79.271346177427958</v>
      </c>
    </row>
    <row r="52" spans="18:23" ht="16" customHeight="1">
      <c r="R52" s="360">
        <f t="shared" si="6"/>
        <v>9.5513172331315958E-3</v>
      </c>
      <c r="S52" s="354">
        <f t="shared" si="2"/>
        <v>64.490389571142444</v>
      </c>
      <c r="T52" s="354">
        <f t="shared" si="7"/>
        <v>74.490389571142146</v>
      </c>
      <c r="U52" s="354">
        <f t="shared" si="7"/>
        <v>84.490389571142146</v>
      </c>
      <c r="V52" s="354">
        <f t="shared" si="7"/>
        <v>94.490389571142146</v>
      </c>
      <c r="W52" s="349">
        <f t="shared" si="4"/>
        <v>79.490389571142217</v>
      </c>
    </row>
    <row r="53" spans="18:23" ht="16" customHeight="1">
      <c r="R53" s="360">
        <f t="shared" si="6"/>
        <v>6.9713596012203807E-3</v>
      </c>
      <c r="S53" s="354">
        <f t="shared" si="2"/>
        <v>64.709432964856703</v>
      </c>
      <c r="T53" s="354">
        <f t="shared" si="7"/>
        <v>74.709432964856404</v>
      </c>
      <c r="U53" s="354">
        <f t="shared" si="7"/>
        <v>84.709432964856404</v>
      </c>
      <c r="V53" s="354">
        <f t="shared" si="7"/>
        <v>94.709432964856404</v>
      </c>
      <c r="W53" s="349">
        <f t="shared" si="4"/>
        <v>79.709432964856475</v>
      </c>
    </row>
    <row r="54" spans="18:23" ht="16" customHeight="1">
      <c r="R54" s="360">
        <f t="shared" si="6"/>
        <v>5.0125647648597248E-3</v>
      </c>
      <c r="S54" s="354">
        <f t="shared" si="2"/>
        <v>64.928476358570961</v>
      </c>
      <c r="T54" s="354">
        <f t="shared" si="7"/>
        <v>74.928476358570663</v>
      </c>
      <c r="U54" s="354">
        <f t="shared" si="7"/>
        <v>84.928476358570663</v>
      </c>
      <c r="V54" s="354">
        <f t="shared" si="7"/>
        <v>94.928476358570663</v>
      </c>
      <c r="W54" s="349">
        <f t="shared" si="4"/>
        <v>79.928476358570734</v>
      </c>
    </row>
    <row r="55" spans="18:23" ht="16" customHeight="1">
      <c r="R55" s="360">
        <f t="shared" si="6"/>
        <v>3.5505105262134819E-3</v>
      </c>
      <c r="S55" s="354">
        <f t="shared" si="2"/>
        <v>65.14751975228522</v>
      </c>
      <c r="T55" s="354">
        <f t="shared" si="7"/>
        <v>75.147519752284921</v>
      </c>
      <c r="U55" s="354">
        <f t="shared" si="7"/>
        <v>85.147519752284921</v>
      </c>
      <c r="V55" s="354">
        <f t="shared" si="7"/>
        <v>95.147519752284921</v>
      </c>
      <c r="W55" s="349">
        <f t="shared" si="4"/>
        <v>80.147519752284992</v>
      </c>
    </row>
  </sheetData>
  <mergeCells count="4">
    <mergeCell ref="A1:N1"/>
    <mergeCell ref="S5:V5"/>
    <mergeCell ref="C2:D2"/>
    <mergeCell ref="K2:L2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50"/>
  <sheetViews>
    <sheetView zoomScale="95" workbookViewId="0">
      <selection activeCell="M29" sqref="M29"/>
    </sheetView>
  </sheetViews>
  <sheetFormatPr baseColWidth="10" defaultRowHeight="27" customHeight="1"/>
  <cols>
    <col min="1" max="11" width="7" style="5" customWidth="1"/>
    <col min="12" max="12" width="3.59765625" style="5" customWidth="1"/>
    <col min="13" max="17" width="10.69921875" style="5"/>
    <col min="18" max="21" width="9.8984375" style="5" customWidth="1"/>
    <col min="22" max="22" width="9" style="5" customWidth="1"/>
    <col min="23" max="23" width="10.69921875" style="5" customWidth="1"/>
    <col min="24" max="16384" width="10.69921875" style="5"/>
  </cols>
  <sheetData>
    <row r="1" spans="1:19" ht="27" customHeight="1">
      <c r="A1" s="158"/>
      <c r="B1" s="172" t="s">
        <v>323</v>
      </c>
      <c r="C1" s="173">
        <v>5</v>
      </c>
      <c r="D1" s="172" t="s">
        <v>422</v>
      </c>
      <c r="E1" s="173">
        <v>2</v>
      </c>
      <c r="F1" s="172" t="s">
        <v>429</v>
      </c>
      <c r="G1" s="173">
        <v>5.8</v>
      </c>
      <c r="H1" s="172" t="s">
        <v>430</v>
      </c>
      <c r="I1" s="173">
        <v>3</v>
      </c>
      <c r="J1" s="98"/>
      <c r="K1" s="99"/>
      <c r="N1" s="23"/>
      <c r="O1" s="23"/>
      <c r="P1" s="18" t="s">
        <v>43</v>
      </c>
      <c r="Q1" s="23"/>
      <c r="R1" s="23"/>
      <c r="S1" s="23"/>
    </row>
    <row r="2" spans="1:19" ht="27" customHeight="1">
      <c r="A2" s="158"/>
      <c r="B2" s="68" t="s">
        <v>322</v>
      </c>
      <c r="C2" s="69">
        <v>0.4</v>
      </c>
      <c r="D2" s="68" t="s">
        <v>431</v>
      </c>
      <c r="E2" s="69">
        <f>C2</f>
        <v>0.4</v>
      </c>
      <c r="F2" s="68" t="s">
        <v>46</v>
      </c>
      <c r="G2" s="69">
        <f>C2</f>
        <v>0.4</v>
      </c>
      <c r="H2" s="68" t="s">
        <v>47</v>
      </c>
      <c r="I2" s="69">
        <f>C2</f>
        <v>0.4</v>
      </c>
      <c r="J2" s="158"/>
      <c r="K2" s="158"/>
      <c r="M2" s="22"/>
      <c r="N2" s="205" t="s">
        <v>474</v>
      </c>
      <c r="O2" s="206" t="s">
        <v>247</v>
      </c>
      <c r="P2" s="207" t="s">
        <v>93</v>
      </c>
      <c r="Q2" s="161" t="s">
        <v>94</v>
      </c>
      <c r="R2" s="161" t="s">
        <v>95</v>
      </c>
      <c r="S2" s="107"/>
    </row>
    <row r="3" spans="1:19" ht="27" customHeight="1">
      <c r="A3" s="151"/>
      <c r="B3" s="138" t="s">
        <v>44</v>
      </c>
      <c r="C3" s="142">
        <v>4</v>
      </c>
      <c r="D3" s="138" t="s">
        <v>45</v>
      </c>
      <c r="E3" s="142">
        <v>5</v>
      </c>
      <c r="F3" s="143" t="s">
        <v>428</v>
      </c>
      <c r="G3" s="144">
        <v>0.05</v>
      </c>
      <c r="H3" s="144" t="s">
        <v>56</v>
      </c>
      <c r="I3" s="139">
        <v>0.95</v>
      </c>
      <c r="J3" s="151"/>
      <c r="K3" s="151"/>
      <c r="M3" s="22"/>
      <c r="N3" s="156" t="s">
        <v>188</v>
      </c>
      <c r="O3" s="174">
        <f>C1</f>
        <v>5</v>
      </c>
      <c r="P3" s="71">
        <f ca="1">C12</f>
        <v>5</v>
      </c>
      <c r="Q3" s="64">
        <f ca="1">C25</f>
        <v>1.0477575382254016</v>
      </c>
      <c r="R3" s="64">
        <f ca="1">C32</f>
        <v>0</v>
      </c>
      <c r="S3" s="107"/>
    </row>
    <row r="4" spans="1:19" ht="27" customHeight="1">
      <c r="A4" s="152"/>
      <c r="B4" s="432" t="s">
        <v>154</v>
      </c>
      <c r="C4" s="432"/>
      <c r="D4" s="432"/>
      <c r="E4" s="432"/>
      <c r="F4" s="432"/>
      <c r="G4" s="432"/>
      <c r="H4" s="432"/>
      <c r="I4" s="432"/>
      <c r="J4" s="152"/>
      <c r="K4" s="152"/>
      <c r="M4" s="22"/>
      <c r="N4" s="156" t="s">
        <v>157</v>
      </c>
      <c r="O4" s="174">
        <f>E1</f>
        <v>2</v>
      </c>
      <c r="P4" s="71">
        <f ca="1">E12</f>
        <v>2.2000000000000002</v>
      </c>
      <c r="Q4" s="64">
        <f ca="1">E25</f>
        <v>0.66266005128064076</v>
      </c>
      <c r="R4" s="64">
        <f ca="1">E32</f>
        <v>1.0388506336259493</v>
      </c>
      <c r="S4" s="107"/>
    </row>
    <row r="5" spans="1:19" ht="27" customHeight="1">
      <c r="A5" s="152"/>
      <c r="B5" s="432" t="s">
        <v>196</v>
      </c>
      <c r="C5" s="432"/>
      <c r="D5" s="432" t="s">
        <v>197</v>
      </c>
      <c r="E5" s="432"/>
      <c r="F5" s="432" t="s">
        <v>20</v>
      </c>
      <c r="G5" s="432"/>
      <c r="H5" s="432" t="s">
        <v>21</v>
      </c>
      <c r="I5" s="432"/>
      <c r="J5" s="152"/>
      <c r="K5" s="152"/>
      <c r="M5" s="22"/>
      <c r="N5" s="156" t="s">
        <v>158</v>
      </c>
      <c r="O5" s="174">
        <f>G1</f>
        <v>5.8</v>
      </c>
      <c r="P5" s="71">
        <f ca="1">G12</f>
        <v>5.75</v>
      </c>
      <c r="Q5" s="64">
        <f ca="1">G25</f>
        <v>0.74087646031850463</v>
      </c>
      <c r="R5" s="64">
        <f ca="1">G32</f>
        <v>0.79561157622171952</v>
      </c>
      <c r="S5" s="107"/>
    </row>
    <row r="6" spans="1:19" ht="27" customHeight="1">
      <c r="A6" s="146"/>
      <c r="B6" s="100" t="s">
        <v>424</v>
      </c>
      <c r="C6" s="127">
        <f ca="1">ROUND(NORMINV(RAND(),C$1,C$2),0)</f>
        <v>5</v>
      </c>
      <c r="D6" s="100" t="s">
        <v>412</v>
      </c>
      <c r="E6" s="127">
        <f ca="1">ROUND(NORMINV(RAND(),E$1,E$2),0)</f>
        <v>2</v>
      </c>
      <c r="F6" s="100" t="s">
        <v>444</v>
      </c>
      <c r="G6" s="127">
        <f t="shared" ref="G6:G9" ca="1" si="0">ROUND(NORMINV(RAND(),G$1,G$2),0)</f>
        <v>6</v>
      </c>
      <c r="H6" s="100" t="s">
        <v>445</v>
      </c>
      <c r="I6" s="127">
        <f ca="1">ROUND(NORMINV(RAND(),I$1,I$2),0)</f>
        <v>3</v>
      </c>
      <c r="J6" s="147"/>
      <c r="K6" s="147"/>
      <c r="M6" s="22"/>
      <c r="N6" s="156" t="s">
        <v>305</v>
      </c>
      <c r="O6" s="174">
        <f>I1</f>
        <v>3</v>
      </c>
      <c r="P6" s="71">
        <f ca="1">I12</f>
        <v>3</v>
      </c>
      <c r="Q6" s="64">
        <f ca="1">I25</f>
        <v>0.66266005128064076</v>
      </c>
      <c r="R6" s="64">
        <f ca="1">I32</f>
        <v>0.87798903303638642</v>
      </c>
      <c r="S6" s="107"/>
    </row>
    <row r="7" spans="1:19" ht="27" customHeight="1">
      <c r="A7" s="146"/>
      <c r="B7" s="100" t="s">
        <v>413</v>
      </c>
      <c r="C7" s="127">
        <f ca="1">ROUND(NORMINV(RAND(),C$1,C$2),0)</f>
        <v>5</v>
      </c>
      <c r="D7" s="100" t="s">
        <v>414</v>
      </c>
      <c r="E7" s="127">
        <f ca="1">ROUND(NORMINV(RAND(),E$1,E$2),0)</f>
        <v>2</v>
      </c>
      <c r="F7" s="100" t="s">
        <v>446</v>
      </c>
      <c r="G7" s="127">
        <f t="shared" ca="1" si="0"/>
        <v>6</v>
      </c>
      <c r="H7" s="100" t="s">
        <v>447</v>
      </c>
      <c r="I7" s="127">
        <f ca="1">ROUND(NORMINV(RAND(),I$1,I$2),0)</f>
        <v>4</v>
      </c>
      <c r="J7" s="147"/>
      <c r="K7" s="147"/>
      <c r="M7" s="22"/>
      <c r="N7" s="175"/>
    </row>
    <row r="8" spans="1:19" ht="27" customHeight="1">
      <c r="A8" s="146"/>
      <c r="B8" s="100"/>
      <c r="C8" s="127"/>
      <c r="D8" s="100" t="s">
        <v>261</v>
      </c>
      <c r="E8" s="127">
        <f ca="1">ROUND(NORMINV(RAND(),E$1,E$2),0)</f>
        <v>3</v>
      </c>
      <c r="F8" s="100" t="s">
        <v>54</v>
      </c>
      <c r="G8" s="127">
        <f t="shared" ca="1" si="0"/>
        <v>5</v>
      </c>
      <c r="H8" s="100" t="s">
        <v>55</v>
      </c>
      <c r="I8" s="127">
        <f ca="1">ROUND(NORMINV(RAND(),I$1,I$2),0)</f>
        <v>3</v>
      </c>
      <c r="J8" s="147"/>
      <c r="K8" s="147"/>
      <c r="M8" s="22"/>
      <c r="N8" s="175"/>
    </row>
    <row r="9" spans="1:19" ht="27" customHeight="1">
      <c r="A9" s="146"/>
      <c r="B9" s="100"/>
      <c r="C9" s="127"/>
      <c r="D9" s="100" t="s">
        <v>418</v>
      </c>
      <c r="E9" s="127">
        <f ca="1">ROUND(NORMINV(RAND(),E$1,E$2),0)</f>
        <v>1</v>
      </c>
      <c r="F9" s="100" t="s">
        <v>236</v>
      </c>
      <c r="G9" s="127">
        <f t="shared" ca="1" si="0"/>
        <v>6</v>
      </c>
      <c r="H9" s="100" t="s">
        <v>237</v>
      </c>
      <c r="I9" s="127">
        <f ca="1">ROUND(NORMINV(RAND(),I$1,I$2),0)</f>
        <v>2</v>
      </c>
      <c r="J9" s="147"/>
      <c r="K9" s="147"/>
    </row>
    <row r="10" spans="1:19" ht="27" customHeight="1">
      <c r="A10" s="166"/>
      <c r="B10" s="167"/>
      <c r="C10" s="74"/>
      <c r="D10" s="167" t="s">
        <v>433</v>
      </c>
      <c r="E10" s="74">
        <f ca="1">ROUND(NORMINV(RAND(),E$1,E$2),0)</f>
        <v>3</v>
      </c>
      <c r="F10" s="167"/>
      <c r="G10" s="74"/>
      <c r="H10" s="167" t="s">
        <v>239</v>
      </c>
      <c r="I10" s="74">
        <f ca="1">ROUND(NORMINV(RAND(),I$1,I$2),0)</f>
        <v>3</v>
      </c>
      <c r="J10" s="168"/>
      <c r="K10" s="168"/>
    </row>
    <row r="11" spans="1:19" ht="27" customHeight="1">
      <c r="A11" s="148" t="s">
        <v>307</v>
      </c>
      <c r="B11" s="100" t="s">
        <v>308</v>
      </c>
      <c r="C11" s="127">
        <f ca="1">SUM(C6:C10)</f>
        <v>10</v>
      </c>
      <c r="D11" s="100" t="s">
        <v>309</v>
      </c>
      <c r="E11" s="127">
        <f ca="1">SUM(E6:E10)</f>
        <v>11</v>
      </c>
      <c r="F11" s="100" t="s">
        <v>310</v>
      </c>
      <c r="G11" s="127">
        <f ca="1">SUM(G6:G10)</f>
        <v>23</v>
      </c>
      <c r="H11" s="100" t="s">
        <v>311</v>
      </c>
      <c r="I11" s="127">
        <f ca="1">SUM(I6:I10)</f>
        <v>15</v>
      </c>
      <c r="J11" s="100" t="s">
        <v>312</v>
      </c>
      <c r="K11" s="105">
        <f ca="1">SUM(C11:I11)</f>
        <v>59</v>
      </c>
    </row>
    <row r="12" spans="1:19" ht="27" customHeight="1">
      <c r="A12" s="148" t="s">
        <v>313</v>
      </c>
      <c r="B12" s="100" t="s">
        <v>314</v>
      </c>
      <c r="C12" s="145">
        <f ca="1">C11/C13</f>
        <v>5</v>
      </c>
      <c r="D12" s="100" t="s">
        <v>315</v>
      </c>
      <c r="E12" s="145">
        <f ca="1">E11/E13</f>
        <v>2.2000000000000002</v>
      </c>
      <c r="F12" s="100" t="s">
        <v>316</v>
      </c>
      <c r="G12" s="145">
        <f ca="1">G11/G13</f>
        <v>5.75</v>
      </c>
      <c r="H12" s="100" t="s">
        <v>242</v>
      </c>
      <c r="I12" s="145">
        <f ca="1">I11/I13</f>
        <v>3</v>
      </c>
      <c r="J12" s="100"/>
      <c r="K12" s="103"/>
    </row>
    <row r="13" spans="1:19" ht="27" customHeight="1">
      <c r="A13" s="116"/>
      <c r="B13" s="56" t="s">
        <v>396</v>
      </c>
      <c r="C13" s="109">
        <f ca="1">COUNT(C6:C10)</f>
        <v>2</v>
      </c>
      <c r="D13" s="116"/>
      <c r="E13" s="109">
        <f ca="1">COUNT(E6:E10)</f>
        <v>5</v>
      </c>
      <c r="F13" s="116"/>
      <c r="G13" s="109">
        <f ca="1">COUNT(G6:G10)</f>
        <v>4</v>
      </c>
      <c r="H13" s="116"/>
      <c r="I13" s="109">
        <f ca="1">COUNT(I6:I10)</f>
        <v>5</v>
      </c>
      <c r="J13" s="56" t="s">
        <v>276</v>
      </c>
      <c r="K13" s="149">
        <f ca="1">SUM(C13:I13)</f>
        <v>16</v>
      </c>
    </row>
    <row r="14" spans="1:19" ht="27" customHeight="1">
      <c r="A14" s="116"/>
      <c r="B14" s="150" t="s">
        <v>400</v>
      </c>
      <c r="C14" s="119">
        <f ca="1">SUMSQ(C6:C10)-C11^2/C13</f>
        <v>0</v>
      </c>
      <c r="D14" s="119"/>
      <c r="E14" s="119">
        <f ca="1">SUMSQ(E6:E10)-E11^2/E13</f>
        <v>2.8000000000000007</v>
      </c>
      <c r="F14" s="119"/>
      <c r="G14" s="119">
        <f ca="1">SUMSQ(G6:G10)-G11^2/G13</f>
        <v>0.75</v>
      </c>
      <c r="H14" s="119"/>
      <c r="I14" s="119">
        <f ca="1">SUMSQ(I6:I10)-I11^2/I13</f>
        <v>2</v>
      </c>
      <c r="J14" s="150" t="s">
        <v>23</v>
      </c>
      <c r="K14" s="117">
        <f ca="1">SUM(C14:I14)</f>
        <v>5.5500000000000007</v>
      </c>
    </row>
    <row r="15" spans="1:19" ht="27" customHeight="1">
      <c r="A15" s="116"/>
      <c r="B15" s="150" t="s">
        <v>155</v>
      </c>
      <c r="C15" s="119">
        <f ca="1">C11^2/C13</f>
        <v>50</v>
      </c>
      <c r="D15" s="119"/>
      <c r="E15" s="119">
        <f ca="1">E11^2/E13</f>
        <v>24.2</v>
      </c>
      <c r="F15" s="119"/>
      <c r="G15" s="119">
        <f ca="1">G11^2/G13</f>
        <v>132.25</v>
      </c>
      <c r="H15" s="119"/>
      <c r="I15" s="119">
        <f ca="1">I11^2/I13</f>
        <v>45</v>
      </c>
      <c r="J15" s="176" t="s">
        <v>156</v>
      </c>
      <c r="K15" s="117">
        <f ca="1">SUM(C15:I15)</f>
        <v>251.45</v>
      </c>
    </row>
    <row r="16" spans="1:19" ht="27" customHeight="1">
      <c r="A16" s="116"/>
      <c r="B16" s="56" t="s">
        <v>401</v>
      </c>
      <c r="C16" s="109">
        <f ca="1">C13-1</f>
        <v>1</v>
      </c>
      <c r="D16" s="116"/>
      <c r="E16" s="109">
        <f ca="1">E13-1</f>
        <v>4</v>
      </c>
      <c r="F16" s="116"/>
      <c r="G16" s="109">
        <f ca="1">G13-1</f>
        <v>3</v>
      </c>
      <c r="H16" s="116"/>
      <c r="I16" s="109">
        <f ca="1">I13-1</f>
        <v>4</v>
      </c>
      <c r="J16" s="56" t="s">
        <v>243</v>
      </c>
      <c r="K16" s="149">
        <f ca="1">SUM(C16:I16)</f>
        <v>12</v>
      </c>
    </row>
    <row r="17" spans="1:19" ht="27" customHeight="1">
      <c r="A17" s="116"/>
      <c r="B17" s="56" t="s">
        <v>289</v>
      </c>
      <c r="C17" s="115">
        <f ca="1">C14/C16</f>
        <v>0</v>
      </c>
      <c r="D17" s="115"/>
      <c r="E17" s="115">
        <f ca="1">E14/E16</f>
        <v>0.70000000000000018</v>
      </c>
      <c r="F17" s="115"/>
      <c r="G17" s="115">
        <f ca="1">G14/G16</f>
        <v>0.25</v>
      </c>
      <c r="H17" s="115"/>
      <c r="I17" s="115">
        <f ca="1">I14/I16</f>
        <v>0.5</v>
      </c>
      <c r="J17" s="56" t="s">
        <v>244</v>
      </c>
      <c r="K17" s="117">
        <f ca="1">SUMPRODUCT(C17:I17,C18:I18)</f>
        <v>0.46250000000000002</v>
      </c>
    </row>
    <row r="18" spans="1:19" ht="27" customHeight="1">
      <c r="A18" s="116"/>
      <c r="B18" s="56" t="s">
        <v>14</v>
      </c>
      <c r="C18" s="115">
        <f ca="1">C16/$K$16</f>
        <v>8.3333333333333329E-2</v>
      </c>
      <c r="D18" s="115"/>
      <c r="E18" s="115">
        <f ca="1">E16/$K$16</f>
        <v>0.33333333333333331</v>
      </c>
      <c r="F18" s="115"/>
      <c r="G18" s="115">
        <f ca="1">G16/$K$16</f>
        <v>0.25</v>
      </c>
      <c r="H18" s="115"/>
      <c r="I18" s="115">
        <f ca="1">I16/$K$16</f>
        <v>0.33333333333333331</v>
      </c>
      <c r="J18" s="116"/>
      <c r="K18" s="116"/>
    </row>
    <row r="19" spans="1:19" ht="27" customHeight="1">
      <c r="A19" s="116"/>
      <c r="B19" s="56" t="s">
        <v>15</v>
      </c>
      <c r="C19" s="115">
        <f ca="1">SQRT(C17)</f>
        <v>0</v>
      </c>
      <c r="D19" s="115"/>
      <c r="E19" s="115">
        <f ca="1">SQRT(E17)</f>
        <v>0.83666002653407567</v>
      </c>
      <c r="F19" s="115"/>
      <c r="G19" s="115">
        <f ca="1">SQRT(G17)</f>
        <v>0.5</v>
      </c>
      <c r="H19" s="115"/>
      <c r="I19" s="115">
        <f ca="1">SQRT(I17)</f>
        <v>0.70710678118654757</v>
      </c>
      <c r="J19" s="116"/>
      <c r="K19" s="116"/>
    </row>
    <row r="20" spans="1:19" ht="27" customHeight="1">
      <c r="A20" s="116"/>
      <c r="B20" s="56" t="s">
        <v>16</v>
      </c>
      <c r="C20" s="115">
        <f ca="1">C17/C13</f>
        <v>0</v>
      </c>
      <c r="D20" s="115"/>
      <c r="E20" s="115">
        <f ca="1">E17/E13</f>
        <v>0.14000000000000004</v>
      </c>
      <c r="F20" s="115"/>
      <c r="G20" s="115">
        <f ca="1">G17/G13</f>
        <v>6.25E-2</v>
      </c>
      <c r="H20" s="115"/>
      <c r="I20" s="115">
        <f ca="1">I17/I13</f>
        <v>0.1</v>
      </c>
      <c r="J20" s="116"/>
      <c r="K20" s="116"/>
    </row>
    <row r="21" spans="1:19" ht="27" customHeight="1" thickBot="1">
      <c r="A21" s="208"/>
      <c r="B21" s="209" t="s">
        <v>17</v>
      </c>
      <c r="C21" s="210">
        <f ca="1">SQRT(C20)</f>
        <v>0</v>
      </c>
      <c r="D21" s="210"/>
      <c r="E21" s="210">
        <f ca="1">SQRT(E20)</f>
        <v>0.37416573867739417</v>
      </c>
      <c r="F21" s="210"/>
      <c r="G21" s="210">
        <f ca="1">SQRT(G20)</f>
        <v>0.25</v>
      </c>
      <c r="H21" s="210"/>
      <c r="I21" s="210">
        <f ca="1">SQRT(I20)</f>
        <v>0.31622776601683794</v>
      </c>
      <c r="J21" s="208"/>
      <c r="K21" s="208"/>
    </row>
    <row r="22" spans="1:19" ht="27" customHeight="1" thickTop="1">
      <c r="A22" s="107"/>
      <c r="B22" s="153" t="s">
        <v>245</v>
      </c>
      <c r="C22" s="154"/>
      <c r="D22" s="154"/>
      <c r="E22" s="154"/>
      <c r="F22" s="154"/>
      <c r="G22" s="154"/>
      <c r="H22" s="154"/>
      <c r="I22" s="154"/>
      <c r="J22" s="107"/>
      <c r="K22" s="155"/>
    </row>
    <row r="23" spans="1:19" ht="27" customHeight="1">
      <c r="A23" s="107"/>
      <c r="B23" s="56" t="s">
        <v>187</v>
      </c>
      <c r="C23" s="115">
        <f ca="1">SQRT($K$17/C13)</f>
        <v>0.48088460154178364</v>
      </c>
      <c r="D23" s="115"/>
      <c r="E23" s="115">
        <f ca="1">SQRT($K$17/E13)</f>
        <v>0.30413812651491096</v>
      </c>
      <c r="F23" s="115"/>
      <c r="G23" s="115">
        <f ca="1">SQRT($K$17/G13)</f>
        <v>0.34003676271838607</v>
      </c>
      <c r="H23" s="115"/>
      <c r="I23" s="115">
        <f ca="1">SQRT($K$17/I13)</f>
        <v>0.30413812651491096</v>
      </c>
      <c r="J23" s="107"/>
      <c r="K23" s="107"/>
    </row>
    <row r="24" spans="1:19" ht="27" customHeight="1">
      <c r="A24" s="107"/>
      <c r="B24" s="56" t="s">
        <v>371</v>
      </c>
      <c r="C24" s="115">
        <f ca="1">TINV(1-$I$3,$K$16)</f>
        <v>2.1788128271650695</v>
      </c>
      <c r="D24" s="116"/>
      <c r="E24" s="115">
        <f ca="1">TINV(1-$I$3,$K$16)</f>
        <v>2.1788128271650695</v>
      </c>
      <c r="F24" s="116"/>
      <c r="G24" s="115">
        <f ca="1">TINV(1-$I$3,$K$16)</f>
        <v>2.1788128271650695</v>
      </c>
      <c r="H24" s="116"/>
      <c r="I24" s="115">
        <f ca="1">TINV(1-$I$3,$K$16)</f>
        <v>2.1788128271650695</v>
      </c>
      <c r="J24" s="107"/>
      <c r="K24" s="107"/>
    </row>
    <row r="25" spans="1:19" ht="27" customHeight="1">
      <c r="A25" s="107"/>
      <c r="B25" s="59" t="s">
        <v>246</v>
      </c>
      <c r="C25" s="121">
        <f ca="1">C23*C24</f>
        <v>1.0477575382254016</v>
      </c>
      <c r="D25" s="121"/>
      <c r="E25" s="121">
        <f ca="1">E23*E24</f>
        <v>0.66266005128064076</v>
      </c>
      <c r="F25" s="121"/>
      <c r="G25" s="121">
        <f ca="1">G23*G24</f>
        <v>0.74087646031850463</v>
      </c>
      <c r="H25" s="121"/>
      <c r="I25" s="121">
        <f ca="1">I23*I24</f>
        <v>0.66266005128064076</v>
      </c>
      <c r="J25" s="107"/>
      <c r="K25" s="107"/>
    </row>
    <row r="26" spans="1:19" ht="27" customHeight="1">
      <c r="A26" s="107"/>
      <c r="B26" s="56" t="s">
        <v>436</v>
      </c>
      <c r="C26" s="115">
        <f ca="1">C12+C25</f>
        <v>6.0477575382254019</v>
      </c>
      <c r="D26" s="116"/>
      <c r="E26" s="115">
        <f ca="1">E12+E25</f>
        <v>2.862660051280641</v>
      </c>
      <c r="F26" s="116"/>
      <c r="G26" s="115">
        <f ca="1">G12+G25</f>
        <v>6.4908764603185043</v>
      </c>
      <c r="H26" s="116"/>
      <c r="I26" s="115">
        <f ca="1">I12+I25</f>
        <v>3.6626600512806409</v>
      </c>
      <c r="J26" s="107"/>
      <c r="K26" s="107"/>
    </row>
    <row r="27" spans="1:19" ht="27" customHeight="1" thickBot="1">
      <c r="A27" s="211"/>
      <c r="B27" s="209" t="s">
        <v>437</v>
      </c>
      <c r="C27" s="210">
        <f ca="1">C12-C25</f>
        <v>3.9522424617745981</v>
      </c>
      <c r="D27" s="208"/>
      <c r="E27" s="210">
        <f ca="1">E12-E25</f>
        <v>1.5373399487193593</v>
      </c>
      <c r="F27" s="208"/>
      <c r="G27" s="210">
        <f ca="1">G12-G25</f>
        <v>5.0091235396814957</v>
      </c>
      <c r="H27" s="208"/>
      <c r="I27" s="210">
        <f ca="1">I12-I25</f>
        <v>2.3373399487193591</v>
      </c>
      <c r="J27" s="211"/>
      <c r="K27" s="211"/>
    </row>
    <row r="28" spans="1:19" ht="27" customHeight="1" thickTop="1">
      <c r="A28" s="107"/>
      <c r="B28" s="153" t="s">
        <v>159</v>
      </c>
      <c r="C28" s="154"/>
      <c r="D28" s="154"/>
      <c r="E28" s="154"/>
      <c r="F28" s="154"/>
      <c r="G28" s="154"/>
      <c r="H28" s="154"/>
      <c r="I28" s="154"/>
      <c r="J28" s="107"/>
      <c r="K28" s="107"/>
    </row>
    <row r="29" spans="1:19" ht="27" customHeight="1">
      <c r="A29" s="107"/>
      <c r="B29" s="56" t="s">
        <v>160</v>
      </c>
      <c r="C29" s="115">
        <f ca="1">C19</f>
        <v>0</v>
      </c>
      <c r="D29" s="115"/>
      <c r="E29" s="115">
        <f ca="1">E19</f>
        <v>0.83666002653407567</v>
      </c>
      <c r="F29" s="115"/>
      <c r="G29" s="115">
        <f ca="1">G19</f>
        <v>0.5</v>
      </c>
      <c r="H29" s="115"/>
      <c r="I29" s="115">
        <f ca="1">I19</f>
        <v>0.70710678118654757</v>
      </c>
      <c r="J29" s="107"/>
      <c r="K29" s="107"/>
    </row>
    <row r="30" spans="1:19" ht="27" customHeight="1">
      <c r="A30" s="107"/>
      <c r="B30" s="56" t="s">
        <v>161</v>
      </c>
      <c r="C30" s="115">
        <f ca="1">C29/SQRT(C13)</f>
        <v>0</v>
      </c>
      <c r="D30" s="115"/>
      <c r="E30" s="115">
        <f ca="1">E29/SQRT(E13)</f>
        <v>0.37416573867739417</v>
      </c>
      <c r="F30" s="115"/>
      <c r="G30" s="115">
        <f ca="1">G29/SQRT(G13)</f>
        <v>0.25</v>
      </c>
      <c r="H30" s="115"/>
      <c r="I30" s="115">
        <f ca="1">I29/SQRT(I13)</f>
        <v>0.31622776601683794</v>
      </c>
      <c r="J30" s="107"/>
      <c r="K30" s="107"/>
      <c r="M30" s="112" t="s">
        <v>96</v>
      </c>
      <c r="N30" s="40"/>
      <c r="O30" s="40"/>
      <c r="P30" s="40"/>
      <c r="Q30" s="40"/>
      <c r="R30" s="40"/>
      <c r="S30" s="107"/>
    </row>
    <row r="31" spans="1:19" ht="27" customHeight="1">
      <c r="A31" s="107"/>
      <c r="B31" s="56" t="s">
        <v>371</v>
      </c>
      <c r="C31" s="115">
        <f ca="1">TINV(1-$I$3,C16)</f>
        <v>12.706204733986979</v>
      </c>
      <c r="D31" s="115"/>
      <c r="E31" s="115">
        <f ca="1">TINV(1-$I$3,E16)</f>
        <v>2.7764451050438019</v>
      </c>
      <c r="F31" s="115"/>
      <c r="G31" s="115">
        <f ca="1">TINV(1-$I$3,G16)</f>
        <v>3.1824463048868781</v>
      </c>
      <c r="H31" s="115"/>
      <c r="I31" s="115">
        <f ca="1">TINV(1-$I$3,I16)</f>
        <v>2.7764451050438019</v>
      </c>
      <c r="J31" s="107"/>
      <c r="K31" s="107"/>
      <c r="M31" s="153" t="s">
        <v>97</v>
      </c>
      <c r="N31" s="154" t="s">
        <v>98</v>
      </c>
      <c r="O31" s="154" t="s">
        <v>99</v>
      </c>
      <c r="P31" s="154" t="s">
        <v>142</v>
      </c>
      <c r="Q31" s="160" t="s">
        <v>2</v>
      </c>
      <c r="R31" s="160" t="s">
        <v>51</v>
      </c>
      <c r="S31" s="161" t="s">
        <v>353</v>
      </c>
    </row>
    <row r="32" spans="1:19" ht="27" customHeight="1">
      <c r="A32" s="107"/>
      <c r="B32" s="59" t="s">
        <v>162</v>
      </c>
      <c r="C32" s="121">
        <f ca="1">C30*C31</f>
        <v>0</v>
      </c>
      <c r="D32" s="121"/>
      <c r="E32" s="121">
        <f ca="1">E30*E31</f>
        <v>1.0388506336259493</v>
      </c>
      <c r="F32" s="121"/>
      <c r="G32" s="121">
        <f ca="1">G30*G31</f>
        <v>0.79561157622171952</v>
      </c>
      <c r="H32" s="121"/>
      <c r="I32" s="121">
        <f ca="1">I30*I31</f>
        <v>0.87798903303638642</v>
      </c>
      <c r="J32" s="107"/>
      <c r="K32" s="107"/>
      <c r="M32" s="41" t="s">
        <v>318</v>
      </c>
      <c r="N32" s="46">
        <f>C3-1</f>
        <v>3</v>
      </c>
      <c r="O32" s="41">
        <f ca="1">K15-K11^2/K13</f>
        <v>33.887499999999989</v>
      </c>
      <c r="P32" s="41">
        <f ca="1">O32/N32</f>
        <v>11.295833333333329</v>
      </c>
      <c r="Q32" s="292">
        <f ca="1">P32/P33</f>
        <v>24.423423423423362</v>
      </c>
      <c r="R32" s="292">
        <f ca="1">FINV(G3,N32,N33)</f>
        <v>3.4902948206546531</v>
      </c>
      <c r="S32" s="64" t="str">
        <f ca="1">IF(Q32&gt;R32,"Reject", "Don't reject")</f>
        <v>Reject</v>
      </c>
    </row>
    <row r="33" spans="1:19" ht="27" customHeight="1">
      <c r="A33" s="107"/>
      <c r="B33" s="56" t="s">
        <v>436</v>
      </c>
      <c r="C33" s="119">
        <f ca="1">C12+C32</f>
        <v>5</v>
      </c>
      <c r="D33" s="119"/>
      <c r="E33" s="119">
        <f ca="1">E12+E32</f>
        <v>3.2388506336259493</v>
      </c>
      <c r="F33" s="119"/>
      <c r="G33" s="119">
        <f ca="1">G12+G32</f>
        <v>6.5456115762217193</v>
      </c>
      <c r="H33" s="119"/>
      <c r="I33" s="119">
        <f ca="1">I12+I32</f>
        <v>3.8779890330363864</v>
      </c>
      <c r="J33" s="107"/>
      <c r="K33" s="107"/>
      <c r="M33" s="41" t="s">
        <v>319</v>
      </c>
      <c r="N33" s="46">
        <f ca="1">K16</f>
        <v>12</v>
      </c>
      <c r="O33" s="41">
        <f ca="1">SUMSQ(C6:I10)-K15</f>
        <v>5.5500000000000114</v>
      </c>
      <c r="P33" s="41">
        <f ca="1">O33/N33</f>
        <v>0.46250000000000097</v>
      </c>
      <c r="Q33" s="41"/>
      <c r="R33" s="41"/>
      <c r="S33" s="107"/>
    </row>
    <row r="34" spans="1:19" ht="27" customHeight="1">
      <c r="A34" s="107"/>
      <c r="B34" s="56" t="s">
        <v>437</v>
      </c>
      <c r="C34" s="119">
        <f ca="1">C12-C32</f>
        <v>5</v>
      </c>
      <c r="D34" s="119"/>
      <c r="E34" s="119">
        <f ca="1">E12-E32</f>
        <v>1.1611493663740509</v>
      </c>
      <c r="F34" s="119"/>
      <c r="G34" s="119">
        <f ca="1">G12-G32</f>
        <v>4.9543884237782807</v>
      </c>
      <c r="H34" s="119"/>
      <c r="I34" s="119">
        <f ca="1">I12-I32</f>
        <v>2.1220109669636136</v>
      </c>
      <c r="J34" s="107"/>
      <c r="K34" s="107"/>
      <c r="M34" s="112" t="s">
        <v>320</v>
      </c>
      <c r="N34" s="111">
        <f ca="1">N32+N33</f>
        <v>15</v>
      </c>
      <c r="O34" s="112">
        <f ca="1">O32+O33</f>
        <v>39.4375</v>
      </c>
      <c r="P34" s="112"/>
      <c r="Q34" s="112"/>
      <c r="R34" s="112"/>
      <c r="S34" s="107"/>
    </row>
    <row r="36" spans="1:19" ht="27" customHeight="1">
      <c r="C36" s="295"/>
      <c r="E36" s="295"/>
      <c r="G36" s="295"/>
      <c r="I36" s="295"/>
    </row>
    <row r="50" spans="2:11" ht="27" customHeight="1">
      <c r="B50" s="87"/>
      <c r="C50" s="87"/>
      <c r="D50" s="87"/>
      <c r="E50" s="87"/>
      <c r="F50" s="87"/>
      <c r="G50" s="87"/>
      <c r="H50" s="87"/>
      <c r="I50" s="87"/>
      <c r="J50" s="87"/>
      <c r="K50" s="87"/>
    </row>
  </sheetData>
  <mergeCells count="5">
    <mergeCell ref="B4:I4"/>
    <mergeCell ref="B5:C5"/>
    <mergeCell ref="D5:E5"/>
    <mergeCell ref="F5:G5"/>
    <mergeCell ref="H5:I5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1"/>
  <sheetViews>
    <sheetView workbookViewId="0">
      <selection activeCell="I14" sqref="I14"/>
    </sheetView>
  </sheetViews>
  <sheetFormatPr baseColWidth="10" defaultColWidth="9.3984375" defaultRowHeight="27" customHeight="1"/>
  <cols>
    <col min="1" max="4" width="9.09765625" style="5" customWidth="1"/>
    <col min="5" max="5" width="3.69921875" style="5" customWidth="1"/>
    <col min="6" max="6" width="11.296875" style="5" customWidth="1"/>
    <col min="7" max="7" width="11.69921875" style="5" customWidth="1"/>
    <col min="8" max="9" width="10" style="5" customWidth="1"/>
    <col min="10" max="10" width="11.69921875" style="5" customWidth="1"/>
    <col min="11" max="11" width="3.5" style="5" customWidth="1"/>
    <col min="12" max="12" width="10.8984375" style="5" customWidth="1"/>
    <col min="13" max="13" width="11.5" style="5" customWidth="1"/>
    <col min="14" max="19" width="10" style="5" customWidth="1"/>
    <col min="20" max="20" width="8.3984375" style="5" customWidth="1"/>
    <col min="21" max="16384" width="9.3984375" style="5"/>
  </cols>
  <sheetData>
    <row r="1" spans="1:17" ht="48" customHeight="1">
      <c r="A1" s="440" t="s">
        <v>335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7" ht="27" customHeight="1" thickBot="1">
      <c r="A2" s="95" t="s">
        <v>323</v>
      </c>
      <c r="B2" s="97">
        <v>9</v>
      </c>
      <c r="C2" s="95" t="s">
        <v>422</v>
      </c>
      <c r="D2" s="97">
        <v>12</v>
      </c>
      <c r="F2" s="411" t="s">
        <v>499</v>
      </c>
      <c r="G2" s="412">
        <v>0.05</v>
      </c>
      <c r="H2" s="413"/>
      <c r="I2" s="413"/>
      <c r="J2" s="413"/>
      <c r="K2" s="388"/>
      <c r="L2" s="411" t="s">
        <v>499</v>
      </c>
      <c r="M2" s="412">
        <f>G2</f>
        <v>0.05</v>
      </c>
      <c r="N2" s="413"/>
      <c r="O2" s="413"/>
      <c r="P2" s="413"/>
      <c r="Q2" s="387"/>
    </row>
    <row r="3" spans="1:17" ht="27" customHeight="1">
      <c r="A3" s="95" t="s">
        <v>322</v>
      </c>
      <c r="B3" s="96">
        <v>5</v>
      </c>
      <c r="C3" s="95" t="s">
        <v>322</v>
      </c>
      <c r="D3" s="69">
        <v>1</v>
      </c>
      <c r="F3" s="441" t="s">
        <v>287</v>
      </c>
      <c r="G3" s="442"/>
      <c r="H3" s="442"/>
      <c r="I3" s="442"/>
      <c r="J3" s="443"/>
      <c r="K3" s="386"/>
      <c r="L3" s="441" t="s">
        <v>282</v>
      </c>
      <c r="M3" s="442"/>
      <c r="N3" s="442"/>
      <c r="O3" s="442"/>
      <c r="P3" s="443"/>
      <c r="Q3" s="387"/>
    </row>
    <row r="4" spans="1:17" ht="27" customHeight="1">
      <c r="A4" s="432" t="s">
        <v>359</v>
      </c>
      <c r="B4" s="432"/>
      <c r="C4" s="432"/>
      <c r="D4" s="432"/>
      <c r="F4" s="395" t="s">
        <v>153</v>
      </c>
      <c r="G4" s="396">
        <f ca="1">B18/D18</f>
        <v>5.6785714285714288</v>
      </c>
      <c r="H4" s="396" t="s">
        <v>497</v>
      </c>
      <c r="I4" s="397"/>
      <c r="J4" s="398"/>
      <c r="K4" s="386"/>
      <c r="L4" s="395" t="s">
        <v>153</v>
      </c>
      <c r="M4" s="396">
        <f ca="1">IF(B18&gt;D18,B18/D18,D18/B18)</f>
        <v>5.6785714285714288</v>
      </c>
      <c r="N4" s="396" t="s">
        <v>234</v>
      </c>
      <c r="O4" s="397"/>
      <c r="P4" s="398"/>
      <c r="Q4" s="387"/>
    </row>
    <row r="5" spans="1:17" ht="27" customHeight="1">
      <c r="A5" s="431" t="s">
        <v>360</v>
      </c>
      <c r="B5" s="431"/>
      <c r="C5" s="431" t="s">
        <v>144</v>
      </c>
      <c r="D5" s="431"/>
      <c r="F5" s="395"/>
      <c r="G5" s="399"/>
      <c r="H5" s="399"/>
      <c r="I5" s="397"/>
      <c r="J5" s="398"/>
      <c r="K5" s="387"/>
      <c r="L5" s="395"/>
      <c r="M5" s="399"/>
      <c r="N5" s="396" t="s">
        <v>283</v>
      </c>
      <c r="O5" s="399"/>
      <c r="P5" s="398"/>
      <c r="Q5" s="387"/>
    </row>
    <row r="6" spans="1:17" ht="27" customHeight="1">
      <c r="A6" s="84" t="s">
        <v>271</v>
      </c>
      <c r="B6" s="72">
        <f t="shared" ref="B6:B13" ca="1" si="0">ROUND(NORMINV(RAND(),B$2,B$3),0)</f>
        <v>10</v>
      </c>
      <c r="C6" s="84" t="s">
        <v>412</v>
      </c>
      <c r="D6" s="72">
        <f ca="1">ROUND(NORMINV(RAND(),D$2,D$3),0)</f>
        <v>11</v>
      </c>
      <c r="F6" s="404"/>
      <c r="G6" s="405"/>
      <c r="H6" s="406"/>
      <c r="I6" s="399"/>
      <c r="J6" s="407"/>
      <c r="K6" s="390"/>
      <c r="L6" s="395"/>
      <c r="M6" s="399"/>
      <c r="N6" s="396" t="s">
        <v>284</v>
      </c>
      <c r="O6" s="399"/>
      <c r="P6" s="398"/>
      <c r="Q6" s="387"/>
    </row>
    <row r="7" spans="1:17" ht="27" customHeight="1">
      <c r="A7" s="84" t="s">
        <v>413</v>
      </c>
      <c r="B7" s="72">
        <f t="shared" ca="1" si="0"/>
        <v>4</v>
      </c>
      <c r="C7" s="84" t="s">
        <v>272</v>
      </c>
      <c r="D7" s="72">
        <f ca="1">ROUND(NORMINV(RAND(),D$2,D$3),0)</f>
        <v>12</v>
      </c>
      <c r="F7" s="395"/>
      <c r="G7" s="405"/>
      <c r="H7" s="406"/>
      <c r="I7" s="399"/>
      <c r="J7" s="408"/>
      <c r="K7" s="390"/>
      <c r="L7" s="395"/>
      <c r="M7" s="399"/>
      <c r="N7" s="399"/>
      <c r="O7" s="399"/>
      <c r="P7" s="398"/>
      <c r="Q7" s="387"/>
    </row>
    <row r="8" spans="1:17" ht="27" customHeight="1">
      <c r="A8" s="84" t="s">
        <v>273</v>
      </c>
      <c r="B8" s="72">
        <f t="shared" ca="1" si="0"/>
        <v>11</v>
      </c>
      <c r="C8" s="84" t="s">
        <v>274</v>
      </c>
      <c r="D8" s="72">
        <f ca="1">ROUND(NORMINV(RAND(),D$2,D$3),0)</f>
        <v>9</v>
      </c>
      <c r="F8" s="409"/>
      <c r="G8" s="405"/>
      <c r="H8" s="406"/>
      <c r="I8" s="399"/>
      <c r="J8" s="408"/>
      <c r="K8" s="390"/>
      <c r="L8" s="395"/>
      <c r="M8" s="399"/>
      <c r="N8" s="399"/>
      <c r="O8" s="399"/>
      <c r="P8" s="398"/>
      <c r="Q8" s="387"/>
    </row>
    <row r="9" spans="1:17" ht="27" customHeight="1">
      <c r="A9" s="84" t="s">
        <v>218</v>
      </c>
      <c r="B9" s="72">
        <f t="shared" ca="1" si="0"/>
        <v>11</v>
      </c>
      <c r="C9" s="84" t="s">
        <v>143</v>
      </c>
      <c r="D9" s="72">
        <f ca="1">ROUND(NORMINV(RAND(),D$2,D$3),0)</f>
        <v>12</v>
      </c>
      <c r="F9" s="395" t="s">
        <v>198</v>
      </c>
      <c r="G9" s="396">
        <f ca="1">FINV(G2,B17,D17)</f>
        <v>8.8867429558534852</v>
      </c>
      <c r="H9" s="396" t="s">
        <v>498</v>
      </c>
      <c r="I9" s="399"/>
      <c r="J9" s="408"/>
      <c r="K9" s="390"/>
      <c r="L9" s="395" t="s">
        <v>198</v>
      </c>
      <c r="M9" s="396">
        <f ca="1">IF(B18&gt;D18,FINV(M2/2,B17,D17),FINV(M2/2,D17,B17))</f>
        <v>14.624395022597717</v>
      </c>
      <c r="N9" s="396" t="s">
        <v>235</v>
      </c>
      <c r="O9" s="397"/>
      <c r="P9" s="398"/>
      <c r="Q9" s="387"/>
    </row>
    <row r="10" spans="1:17" ht="27" customHeight="1">
      <c r="A10" s="100" t="s">
        <v>12</v>
      </c>
      <c r="B10" s="72">
        <f t="shared" ca="1" si="0"/>
        <v>5</v>
      </c>
      <c r="C10" s="100"/>
      <c r="D10" s="72"/>
      <c r="F10" s="414" t="str">
        <f ca="1">IF(G4&gt;G9,"Reject null hypothesis", "Don't reject null hypothesis")</f>
        <v>Don't reject null hypothesis</v>
      </c>
      <c r="G10" s="399"/>
      <c r="H10" s="399"/>
      <c r="I10" s="399"/>
      <c r="J10" s="408"/>
      <c r="K10" s="390"/>
      <c r="L10" s="414" t="str">
        <f ca="1">IF(M4&gt;M9,"Reject null hypothesis", "Don't reject null hypothesis")</f>
        <v>Don't reject null hypothesis</v>
      </c>
      <c r="M10" s="399"/>
      <c r="N10" s="396" t="s">
        <v>285</v>
      </c>
      <c r="O10" s="399"/>
      <c r="P10" s="398"/>
      <c r="Q10" s="387"/>
    </row>
    <row r="11" spans="1:17" ht="27" customHeight="1" thickBot="1">
      <c r="A11" s="100" t="s">
        <v>13</v>
      </c>
      <c r="B11" s="72">
        <f t="shared" ca="1" si="0"/>
        <v>2</v>
      </c>
      <c r="C11" s="100"/>
      <c r="D11" s="72"/>
      <c r="F11" s="400"/>
      <c r="G11" s="401"/>
      <c r="H11" s="401"/>
      <c r="I11" s="401"/>
      <c r="J11" s="410"/>
      <c r="K11" s="390"/>
      <c r="L11" s="400"/>
      <c r="M11" s="401"/>
      <c r="N11" s="402" t="s">
        <v>286</v>
      </c>
      <c r="O11" s="401"/>
      <c r="P11" s="403"/>
      <c r="Q11" s="387"/>
    </row>
    <row r="12" spans="1:17" ht="27" customHeight="1">
      <c r="A12" s="100" t="s">
        <v>182</v>
      </c>
      <c r="B12" s="72">
        <f t="shared" ca="1" si="0"/>
        <v>7</v>
      </c>
      <c r="C12" s="100"/>
      <c r="D12" s="72"/>
      <c r="F12" s="388"/>
      <c r="G12" s="388"/>
      <c r="H12" s="388"/>
      <c r="I12" s="386"/>
      <c r="J12" s="388"/>
      <c r="K12" s="388"/>
      <c r="L12" s="388"/>
      <c r="M12" s="389"/>
      <c r="N12" s="387"/>
      <c r="O12" s="387"/>
      <c r="P12" s="389"/>
      <c r="Q12" s="387"/>
    </row>
    <row r="13" spans="1:17" ht="27" customHeight="1" thickBot="1">
      <c r="A13" s="128" t="s">
        <v>183</v>
      </c>
      <c r="B13" s="129">
        <f t="shared" ca="1" si="0"/>
        <v>8</v>
      </c>
      <c r="C13" s="128"/>
      <c r="D13" s="129"/>
      <c r="F13" s="388"/>
      <c r="G13" s="388"/>
      <c r="H13" s="388"/>
      <c r="I13" s="388"/>
      <c r="J13" s="388"/>
      <c r="K13" s="388"/>
      <c r="L13" s="388"/>
      <c r="M13" s="387"/>
      <c r="N13" s="387"/>
      <c r="O13" s="387"/>
      <c r="P13" s="387"/>
      <c r="Q13" s="387"/>
    </row>
    <row r="14" spans="1:17" ht="27" customHeight="1">
      <c r="A14" s="101" t="s">
        <v>336</v>
      </c>
      <c r="B14" s="127">
        <f ca="1">SUM(B6:B13)</f>
        <v>58</v>
      </c>
      <c r="C14" s="101" t="s">
        <v>337</v>
      </c>
      <c r="D14" s="127">
        <f ca="1">SUM(D6:D13)</f>
        <v>44</v>
      </c>
      <c r="F14" s="388"/>
      <c r="G14" s="388"/>
      <c r="H14" s="388"/>
      <c r="I14" s="388"/>
      <c r="J14" s="388"/>
      <c r="K14" s="388"/>
      <c r="L14" s="388"/>
      <c r="M14" s="387"/>
      <c r="N14" s="387"/>
      <c r="O14" s="387"/>
      <c r="P14" s="387"/>
      <c r="Q14" s="387"/>
    </row>
    <row r="15" spans="1:17" ht="27" customHeight="1">
      <c r="A15" s="84" t="s">
        <v>306</v>
      </c>
      <c r="B15" s="72">
        <f ca="1">COUNT(B6:B13)</f>
        <v>8</v>
      </c>
      <c r="C15" s="84" t="s">
        <v>109</v>
      </c>
      <c r="D15" s="72">
        <f ca="1">COUNT(D6:D13)</f>
        <v>4</v>
      </c>
      <c r="F15" s="388"/>
      <c r="G15" s="388"/>
      <c r="H15" s="388"/>
      <c r="I15" s="388"/>
      <c r="J15" s="388"/>
      <c r="K15" s="388"/>
      <c r="L15" s="388"/>
      <c r="M15" s="387"/>
      <c r="N15" s="387"/>
      <c r="O15" s="387"/>
      <c r="P15" s="387"/>
      <c r="Q15" s="387"/>
    </row>
    <row r="16" spans="1:17" ht="27" customHeight="1">
      <c r="A16" s="44" t="s">
        <v>340</v>
      </c>
      <c r="B16" s="52">
        <f ca="1">SUMSQ(B6:B13)-B14^2/B15</f>
        <v>79.5</v>
      </c>
      <c r="C16" s="44" t="s">
        <v>341</v>
      </c>
      <c r="D16" s="52">
        <f ca="1">SUMSQ(D6:D13)-D14^2/D15</f>
        <v>6</v>
      </c>
      <c r="F16" s="388"/>
      <c r="G16" s="388"/>
      <c r="H16" s="388"/>
      <c r="I16" s="388"/>
      <c r="J16" s="388"/>
      <c r="K16" s="388"/>
      <c r="L16" s="388"/>
      <c r="M16" s="387"/>
      <c r="N16" s="387"/>
      <c r="O16" s="387"/>
      <c r="P16" s="387"/>
      <c r="Q16" s="387"/>
    </row>
    <row r="17" spans="1:17" ht="27" customHeight="1">
      <c r="A17" s="41" t="s">
        <v>338</v>
      </c>
      <c r="B17" s="47">
        <f ca="1">B15-1</f>
        <v>7</v>
      </c>
      <c r="C17" s="41" t="s">
        <v>342</v>
      </c>
      <c r="D17" s="47">
        <f ca="1">D15-1</f>
        <v>3</v>
      </c>
      <c r="F17" s="388"/>
      <c r="G17" s="388"/>
      <c r="H17" s="388"/>
      <c r="I17" s="388"/>
      <c r="J17" s="388"/>
      <c r="K17" s="388"/>
      <c r="L17" s="388"/>
      <c r="M17" s="387"/>
      <c r="N17" s="387"/>
      <c r="O17" s="387"/>
      <c r="P17" s="387"/>
      <c r="Q17" s="387"/>
    </row>
    <row r="18" spans="1:17" ht="27" customHeight="1">
      <c r="A18" s="41" t="s">
        <v>339</v>
      </c>
      <c r="B18" s="169">
        <f ca="1">B16/B17</f>
        <v>11.357142857142858</v>
      </c>
      <c r="C18" s="41" t="s">
        <v>343</v>
      </c>
      <c r="D18" s="169">
        <f ca="1">D16/D17</f>
        <v>2</v>
      </c>
      <c r="F18" s="388"/>
      <c r="G18" s="388"/>
      <c r="H18" s="388"/>
      <c r="I18" s="388"/>
      <c r="J18" s="388"/>
      <c r="K18" s="388"/>
      <c r="L18" s="388"/>
      <c r="M18" s="387"/>
      <c r="N18" s="387"/>
      <c r="O18" s="387"/>
      <c r="P18" s="387"/>
      <c r="Q18" s="387"/>
    </row>
    <row r="19" spans="1:17" ht="27" customHeight="1">
      <c r="A19" s="41" t="s">
        <v>344</v>
      </c>
      <c r="B19" s="169">
        <f ca="1">SQRT(B18)</f>
        <v>3.370036032024414</v>
      </c>
      <c r="C19" s="41" t="s">
        <v>345</v>
      </c>
      <c r="D19" s="169">
        <f ca="1">SQRT(D18)</f>
        <v>1.4142135623730951</v>
      </c>
      <c r="F19" s="388"/>
      <c r="G19" s="388"/>
      <c r="H19" s="388"/>
      <c r="I19" s="388"/>
      <c r="J19" s="388"/>
      <c r="K19" s="388"/>
      <c r="L19" s="388"/>
      <c r="M19" s="387"/>
      <c r="N19" s="387"/>
      <c r="O19" s="387"/>
      <c r="P19" s="387"/>
      <c r="Q19" s="387"/>
    </row>
    <row r="20" spans="1:17" ht="27" customHeight="1">
      <c r="F20" s="388"/>
      <c r="G20" s="388"/>
      <c r="H20" s="388"/>
      <c r="I20" s="388"/>
      <c r="J20" s="388"/>
      <c r="K20" s="388"/>
      <c r="L20" s="388"/>
      <c r="M20" s="387"/>
      <c r="N20" s="387"/>
      <c r="O20" s="387"/>
      <c r="P20" s="387"/>
      <c r="Q20" s="387"/>
    </row>
    <row r="21" spans="1:17" ht="27" customHeight="1">
      <c r="D21" s="28"/>
      <c r="F21" s="439"/>
      <c r="G21" s="439"/>
      <c r="H21" s="391"/>
      <c r="I21" s="392"/>
      <c r="J21" s="393"/>
      <c r="K21" s="391"/>
      <c r="L21" s="391"/>
      <c r="M21" s="394"/>
      <c r="N21" s="394"/>
      <c r="O21" s="394"/>
      <c r="P21" s="394"/>
      <c r="Q21" s="394"/>
    </row>
    <row r="22" spans="1:17" ht="27" customHeight="1">
      <c r="D22" s="28"/>
      <c r="F22" s="378"/>
      <c r="G22" s="378"/>
      <c r="H22" s="379"/>
      <c r="I22" s="378"/>
      <c r="J22" s="380"/>
      <c r="K22" s="382"/>
      <c r="L22" s="382"/>
    </row>
    <row r="23" spans="1:17" ht="27" customHeight="1">
      <c r="D23" s="28"/>
      <c r="F23" s="380"/>
      <c r="G23" s="382"/>
      <c r="H23" s="382"/>
      <c r="I23" s="378"/>
      <c r="J23" s="380"/>
      <c r="K23" s="382"/>
      <c r="L23" s="382"/>
    </row>
    <row r="24" spans="1:17" ht="27" customHeight="1">
      <c r="D24" s="28"/>
      <c r="F24" s="380"/>
      <c r="G24" s="382"/>
      <c r="H24" s="382"/>
      <c r="I24" s="378"/>
      <c r="J24" s="380"/>
      <c r="K24" s="382"/>
      <c r="L24" s="382"/>
    </row>
    <row r="25" spans="1:17" ht="27" customHeight="1">
      <c r="A25" s="2"/>
      <c r="B25" s="2"/>
      <c r="C25" s="32"/>
      <c r="D25" s="28"/>
      <c r="F25" s="383"/>
      <c r="G25" s="385"/>
      <c r="H25" s="385"/>
      <c r="I25" s="378"/>
      <c r="J25" s="383"/>
      <c r="K25" s="384"/>
      <c r="L25" s="384"/>
    </row>
    <row r="26" spans="1:17" ht="27" customHeight="1">
      <c r="D26" s="28"/>
      <c r="F26" s="380"/>
      <c r="G26" s="382"/>
      <c r="H26" s="382"/>
      <c r="I26" s="378"/>
      <c r="J26" s="380"/>
      <c r="K26" s="381"/>
      <c r="L26" s="381"/>
    </row>
    <row r="27" spans="1:17" ht="27" customHeight="1">
      <c r="A27" s="2"/>
      <c r="B27" s="28"/>
      <c r="D27" s="28"/>
      <c r="F27" s="380"/>
      <c r="G27" s="382"/>
      <c r="H27" s="382"/>
      <c r="I27" s="378"/>
      <c r="J27" s="380"/>
      <c r="K27" s="381"/>
      <c r="L27" s="381"/>
    </row>
    <row r="34" spans="1:4" ht="27" customHeight="1">
      <c r="A34" s="15"/>
      <c r="B34" s="24"/>
      <c r="C34" s="87"/>
      <c r="D34" s="24"/>
    </row>
    <row r="35" spans="1:4" ht="27" customHeight="1">
      <c r="A35" s="15"/>
      <c r="D35" s="24"/>
    </row>
    <row r="36" spans="1:4" ht="27" customHeight="1">
      <c r="A36" s="15"/>
      <c r="D36" s="24"/>
    </row>
    <row r="37" spans="1:4" ht="27" customHeight="1">
      <c r="A37" s="15"/>
      <c r="D37" s="24"/>
    </row>
    <row r="38" spans="1:4" ht="27" customHeight="1">
      <c r="A38" s="15"/>
      <c r="D38" s="24"/>
    </row>
    <row r="39" spans="1:4" ht="27" customHeight="1">
      <c r="A39" s="15"/>
      <c r="D39" s="24"/>
    </row>
    <row r="40" spans="1:4" ht="27" customHeight="1">
      <c r="A40" s="15"/>
      <c r="D40" s="24"/>
    </row>
    <row r="41" spans="1:4" ht="27" customHeight="1">
      <c r="A41" s="15"/>
      <c r="B41" s="24"/>
      <c r="C41" s="87"/>
      <c r="D41" s="24"/>
    </row>
  </sheetData>
  <mergeCells count="7">
    <mergeCell ref="F21:G21"/>
    <mergeCell ref="A1:P1"/>
    <mergeCell ref="A4:D4"/>
    <mergeCell ref="A5:B5"/>
    <mergeCell ref="C5:D5"/>
    <mergeCell ref="F3:J3"/>
    <mergeCell ref="L3:P3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Getting Started</vt:lpstr>
      <vt:lpstr>Tacoma Syndrome</vt:lpstr>
      <vt:lpstr>WSD-Incentive</vt:lpstr>
      <vt:lpstr>BSD-Incentive</vt:lpstr>
      <vt:lpstr>BSD-unequal n's</vt:lpstr>
      <vt:lpstr>Basic ANOVA</vt:lpstr>
      <vt:lpstr>ANOVA H0 True, False</vt:lpstr>
      <vt:lpstr>Unequal n's</vt:lpstr>
      <vt:lpstr>HOV test</vt:lpstr>
      <vt:lpstr>Two-way ANOVA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2013-03-23T18:22:11Z</dcterms:modified>
</cp:coreProperties>
</file>