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13200" yWindow="0" windowWidth="15220" windowHeight="16060" tabRatio="736"/>
  </bookViews>
  <sheets>
    <sheet name="Final Exam" sheetId="13" r:id="rId1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0" i="13" l="1"/>
  <c r="E200" i="13"/>
  <c r="D200" i="13"/>
  <c r="C200" i="13"/>
  <c r="F199" i="13"/>
  <c r="E199" i="13"/>
  <c r="D199" i="13"/>
  <c r="C199" i="13"/>
  <c r="F198" i="13"/>
  <c r="E198" i="13"/>
  <c r="D198" i="13"/>
  <c r="C198" i="13"/>
  <c r="H199" i="13"/>
  <c r="C58" i="13"/>
  <c r="C55" i="13"/>
  <c r="F156" i="13"/>
  <c r="E156" i="13"/>
  <c r="D156" i="13"/>
  <c r="C156" i="13"/>
  <c r="F155" i="13"/>
  <c r="E155" i="13"/>
  <c r="D155" i="13"/>
  <c r="C155" i="13"/>
  <c r="F154" i="13"/>
  <c r="E154" i="13"/>
  <c r="D154" i="13"/>
  <c r="C154" i="13"/>
  <c r="C125" i="13"/>
  <c r="C126" i="13"/>
  <c r="C104" i="13"/>
  <c r="C132" i="13"/>
  <c r="C133" i="13"/>
  <c r="C23" i="13"/>
  <c r="C70" i="13"/>
  <c r="H187" i="13"/>
  <c r="F194" i="13"/>
  <c r="E194" i="13"/>
  <c r="D194" i="13"/>
  <c r="C194" i="13"/>
  <c r="F193" i="13"/>
  <c r="E193" i="13"/>
  <c r="D193" i="13"/>
  <c r="C193" i="13"/>
  <c r="F192" i="13"/>
  <c r="E192" i="13"/>
  <c r="D192" i="13"/>
  <c r="C192" i="13"/>
  <c r="H193" i="13"/>
  <c r="C36" i="13"/>
  <c r="D22" i="13"/>
  <c r="D24" i="13"/>
  <c r="D36" i="13"/>
  <c r="E24" i="13"/>
  <c r="E36" i="13"/>
  <c r="C37" i="13"/>
  <c r="C33" i="13"/>
  <c r="C34" i="13"/>
  <c r="C35" i="13"/>
  <c r="C39" i="13"/>
  <c r="H2" i="13"/>
  <c r="C56" i="13"/>
  <c r="C54" i="13"/>
  <c r="C19" i="13"/>
  <c r="C59" i="13"/>
  <c r="C61" i="13"/>
  <c r="C60" i="13"/>
  <c r="C45" i="13"/>
  <c r="C78" i="13"/>
  <c r="C79" i="13"/>
  <c r="G1" i="13"/>
  <c r="G4" i="13"/>
  <c r="F2" i="13"/>
  <c r="F3" i="13"/>
  <c r="C7" i="13"/>
  <c r="C8" i="13"/>
  <c r="C11" i="13"/>
  <c r="C180" i="13"/>
  <c r="H155" i="13"/>
  <c r="C159" i="13"/>
  <c r="C164" i="13"/>
  <c r="D159" i="13"/>
  <c r="D164" i="13"/>
  <c r="E159" i="13"/>
  <c r="E164" i="13"/>
  <c r="F159" i="13"/>
  <c r="F164" i="13"/>
  <c r="C160" i="13"/>
  <c r="C165" i="13"/>
  <c r="D160" i="13"/>
  <c r="D165" i="13"/>
  <c r="E160" i="13"/>
  <c r="E165" i="13"/>
  <c r="F160" i="13"/>
  <c r="F165" i="13"/>
  <c r="C161" i="13"/>
  <c r="C166" i="13"/>
  <c r="D161" i="13"/>
  <c r="D166" i="13"/>
  <c r="E161" i="13"/>
  <c r="E166" i="13"/>
  <c r="F161" i="13"/>
  <c r="F166" i="13"/>
  <c r="H165" i="13"/>
  <c r="H160" i="13"/>
  <c r="H139" i="13"/>
  <c r="F145" i="13"/>
  <c r="F150" i="13"/>
  <c r="E145" i="13"/>
  <c r="E150" i="13"/>
  <c r="D145" i="13"/>
  <c r="D150" i="13"/>
  <c r="C145" i="13"/>
  <c r="C150" i="13"/>
  <c r="F144" i="13"/>
  <c r="F149" i="13"/>
  <c r="E144" i="13"/>
  <c r="E149" i="13"/>
  <c r="D144" i="13"/>
  <c r="D149" i="13"/>
  <c r="C144" i="13"/>
  <c r="C149" i="13"/>
  <c r="F143" i="13"/>
  <c r="F148" i="13"/>
  <c r="E143" i="13"/>
  <c r="E148" i="13"/>
  <c r="D143" i="13"/>
  <c r="D148" i="13"/>
  <c r="C143" i="13"/>
  <c r="C148" i="13"/>
  <c r="H149" i="13"/>
  <c r="H144" i="13"/>
  <c r="C120" i="13"/>
  <c r="C134" i="13"/>
  <c r="C127" i="13"/>
  <c r="G99" i="13"/>
  <c r="F99" i="13"/>
  <c r="E99" i="13"/>
  <c r="D99" i="13"/>
  <c r="G98" i="13"/>
  <c r="F98" i="13"/>
  <c r="E98" i="13"/>
  <c r="D98" i="13"/>
  <c r="G97" i="13"/>
  <c r="F97" i="13"/>
  <c r="E97" i="13"/>
  <c r="D97" i="13"/>
  <c r="C117" i="13"/>
  <c r="C118" i="13"/>
  <c r="C119" i="13"/>
  <c r="G119" i="13"/>
  <c r="G118" i="13"/>
  <c r="G117" i="13"/>
  <c r="C108" i="13"/>
  <c r="H100" i="13"/>
  <c r="C111" i="13"/>
  <c r="C105" i="13"/>
  <c r="D116" i="13"/>
  <c r="D100" i="13"/>
  <c r="E100" i="13"/>
  <c r="F100" i="13"/>
  <c r="G100" i="13"/>
  <c r="C109" i="13"/>
  <c r="C103" i="13"/>
  <c r="D117" i="13"/>
  <c r="H97" i="13"/>
  <c r="H98" i="13"/>
  <c r="H99" i="13"/>
  <c r="C110" i="13"/>
  <c r="D118" i="13"/>
  <c r="D119" i="13"/>
  <c r="E119" i="13"/>
  <c r="F119" i="13"/>
  <c r="E118" i="13"/>
  <c r="F118" i="13"/>
  <c r="E117" i="13"/>
  <c r="F117" i="13"/>
  <c r="D120" i="13"/>
  <c r="C112" i="13"/>
  <c r="D29" i="13"/>
  <c r="E63" i="13"/>
  <c r="C63" i="13"/>
  <c r="D63" i="13"/>
  <c r="F63" i="13"/>
  <c r="E64" i="13"/>
  <c r="E65" i="13"/>
  <c r="D64" i="13"/>
  <c r="D65" i="13"/>
  <c r="C64" i="13"/>
  <c r="C65" i="13"/>
  <c r="F64" i="13"/>
  <c r="E23" i="13"/>
  <c r="D26" i="13"/>
  <c r="D28" i="13"/>
  <c r="D30" i="13"/>
  <c r="C25" i="13"/>
  <c r="C26" i="13"/>
  <c r="C27" i="13"/>
  <c r="C29" i="13"/>
  <c r="C168" i="13"/>
  <c r="C135" i="13"/>
  <c r="C128" i="13"/>
  <c r="D121" i="13"/>
  <c r="C116" i="13"/>
  <c r="C121" i="13"/>
  <c r="H119" i="13"/>
  <c r="H118" i="13"/>
  <c r="H117" i="13"/>
  <c r="C107" i="13"/>
  <c r="H93" i="13"/>
  <c r="G93" i="13"/>
  <c r="F93" i="13"/>
  <c r="E93" i="13"/>
  <c r="D93" i="13"/>
  <c r="H92" i="13"/>
  <c r="H91" i="13"/>
  <c r="H90" i="13"/>
  <c r="C75" i="13"/>
  <c r="C72" i="13"/>
  <c r="C67" i="13"/>
  <c r="C68" i="13"/>
  <c r="C69" i="13"/>
  <c r="C71" i="13"/>
  <c r="D71" i="13"/>
  <c r="F65" i="13"/>
  <c r="D50" i="13"/>
  <c r="C50" i="13"/>
  <c r="E50" i="13"/>
  <c r="F50" i="13"/>
  <c r="G50" i="13"/>
  <c r="H50" i="13"/>
  <c r="D44" i="13"/>
  <c r="C44" i="13"/>
  <c r="C46" i="13"/>
  <c r="E44" i="13"/>
  <c r="G44" i="13"/>
  <c r="H3" i="13"/>
  <c r="C14" i="13"/>
  <c r="D14" i="13"/>
  <c r="D15" i="13"/>
  <c r="C15" i="13"/>
  <c r="D8" i="13"/>
  <c r="D7" i="13"/>
  <c r="E28" i="13"/>
  <c r="E27" i="13"/>
  <c r="E29" i="13"/>
  <c r="E26" i="13"/>
  <c r="C38" i="13"/>
  <c r="C40" i="13"/>
  <c r="D45" i="13"/>
  <c r="E45" i="13"/>
  <c r="C76" i="13"/>
  <c r="C77" i="13"/>
  <c r="C80" i="13"/>
  <c r="C82" i="13"/>
  <c r="C81" i="13"/>
  <c r="D46" i="13"/>
  <c r="F44" i="13"/>
  <c r="H44" i="13"/>
  <c r="E202" i="13"/>
</calcChain>
</file>

<file path=xl/sharedStrings.xml><?xml version="1.0" encoding="utf-8"?>
<sst xmlns="http://schemas.openxmlformats.org/spreadsheetml/2006/main" count="230" uniqueCount="167">
  <si>
    <t>Excel</t>
    <phoneticPr fontId="3" type="noConversion"/>
  </si>
  <si>
    <t xml:space="preserve">Pearson r = </t>
    <phoneticPr fontId="3" type="noConversion"/>
  </si>
  <si>
    <r>
      <t>Pearson r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</si>
  <si>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t xml:space="preserve">CI magnitude = </t>
    <phoneticPr fontId="3" type="noConversion"/>
  </si>
  <si>
    <r>
      <t>Hypothesis 1: w</t>
    </r>
    <r>
      <rPr>
        <vertAlign val="subscript"/>
        <sz val="11"/>
        <rFont val="Times"/>
      </rPr>
      <t>j</t>
    </r>
    <r>
      <rPr>
        <sz val="11"/>
        <rFont val="Times"/>
      </rPr>
      <t>'s (Pass 1)</t>
    </r>
    <phoneticPr fontId="3" type="noConversion"/>
  </si>
  <si>
    <r>
      <t>Hypothesis 1: w</t>
    </r>
    <r>
      <rPr>
        <vertAlign val="subscript"/>
        <sz val="11"/>
        <rFont val="Times"/>
      </rPr>
      <t>j</t>
    </r>
    <r>
      <rPr>
        <sz val="11"/>
        <rFont val="Times"/>
      </rPr>
      <t>'s (Pass 2)</t>
    </r>
    <phoneticPr fontId="3" type="noConversion"/>
  </si>
  <si>
    <r>
      <t>Hypothesis 1: w</t>
    </r>
    <r>
      <rPr>
        <vertAlign val="subscript"/>
        <sz val="11"/>
        <rFont val="Times"/>
      </rPr>
      <t>j</t>
    </r>
    <r>
      <rPr>
        <sz val="11"/>
        <rFont val="Times"/>
      </rPr>
      <t>'s (Pass 3)</t>
    </r>
    <phoneticPr fontId="3" type="noConversion"/>
  </si>
  <si>
    <r>
      <t>Hypothesis 2: w</t>
    </r>
    <r>
      <rPr>
        <vertAlign val="subscript"/>
        <sz val="11"/>
        <rFont val="Times"/>
      </rPr>
      <t>j</t>
    </r>
    <r>
      <rPr>
        <sz val="11"/>
        <rFont val="Times"/>
      </rPr>
      <t>'s (Pass 2)</t>
    </r>
    <phoneticPr fontId="3" type="noConversion"/>
  </si>
  <si>
    <r>
      <t>Around M</t>
    </r>
    <r>
      <rPr>
        <vertAlign val="subscript"/>
        <sz val="11"/>
        <rFont val="Times"/>
      </rPr>
      <t>jk</t>
    </r>
    <phoneticPr fontId="3" type="noConversion"/>
  </si>
  <si>
    <t xml:space="preserve">Conf. level = </t>
    <phoneticPr fontId="3" type="noConversion"/>
  </si>
  <si>
    <t xml:space="preserve">Relevant SE = </t>
    <phoneticPr fontId="3" type="noConversion"/>
  </si>
  <si>
    <t xml:space="preserve">Criterion t = </t>
    <phoneticPr fontId="3" type="noConversion"/>
  </si>
  <si>
    <r>
      <t>Around M</t>
    </r>
    <r>
      <rPr>
        <vertAlign val="subscript"/>
        <sz val="11"/>
        <rFont val="Times"/>
      </rPr>
      <t>Rk</t>
    </r>
    <phoneticPr fontId="3" type="noConversion"/>
  </si>
  <si>
    <r>
      <t>SS</t>
    </r>
    <r>
      <rPr>
        <sz val="11"/>
        <rFont val="Times"/>
      </rPr>
      <t>M</t>
    </r>
    <r>
      <rPr>
        <vertAlign val="subscript"/>
        <sz val="11"/>
        <rFont val="Times"/>
      </rPr>
      <t>jk</t>
    </r>
    <r>
      <rPr>
        <sz val="11"/>
        <rFont val="Times"/>
      </rPr>
      <t>w</t>
    </r>
    <r>
      <rPr>
        <vertAlign val="subscript"/>
        <sz val="11"/>
        <rFont val="Times"/>
      </rPr>
      <t>jk</t>
    </r>
    <r>
      <rPr>
        <sz val="11"/>
        <rFont val="Times"/>
      </rPr>
      <t xml:space="preserve"> = </t>
    </r>
    <phoneticPr fontId="3" type="noConversion"/>
  </si>
  <si>
    <t>c</t>
    <phoneticPr fontId="3" type="noConversion"/>
  </si>
  <si>
    <r>
      <t>T</t>
    </r>
    <r>
      <rPr>
        <vertAlign val="superscript"/>
        <sz val="11"/>
        <rFont val="Times"/>
      </rPr>
      <t>2</t>
    </r>
    <r>
      <rPr>
        <sz val="11"/>
        <rFont val="Times"/>
      </rPr>
      <t xml:space="preserve">/N = </t>
    </r>
    <phoneticPr fontId="3" type="noConversion"/>
  </si>
  <si>
    <r>
      <t>T</t>
    </r>
    <r>
      <rPr>
        <vertAlign val="subscript"/>
        <sz val="11"/>
        <rFont val="Times"/>
      </rPr>
      <t>j</t>
    </r>
    <r>
      <rPr>
        <vertAlign val="superscript"/>
        <sz val="11"/>
        <rFont val="Times"/>
      </rPr>
      <t>2</t>
    </r>
    <r>
      <rPr>
        <sz val="11"/>
        <rFont val="Times"/>
      </rPr>
      <t>/n</t>
    </r>
    <r>
      <rPr>
        <vertAlign val="subscript"/>
        <sz val="11"/>
        <rFont val="Times"/>
      </rPr>
      <t>j</t>
    </r>
    <r>
      <rPr>
        <sz val="11"/>
        <rFont val="Times"/>
      </rPr>
      <t xml:space="preserve">'s = </t>
    </r>
    <phoneticPr fontId="3" type="noConversion"/>
  </si>
  <si>
    <t>Group 1</t>
    <phoneticPr fontId="3" type="noConversion"/>
  </si>
  <si>
    <t>Group 2</t>
    <phoneticPr fontId="3" type="noConversion"/>
  </si>
  <si>
    <t>Group 3</t>
    <phoneticPr fontId="3" type="noConversion"/>
  </si>
  <si>
    <t xml:space="preserve">n's </t>
    <phoneticPr fontId="3" type="noConversion"/>
  </si>
  <si>
    <r>
      <t>T</t>
    </r>
    <r>
      <rPr>
        <vertAlign val="subscript"/>
        <sz val="10"/>
        <rFont val="Times New Roman"/>
      </rPr>
      <t>j</t>
    </r>
    <r>
      <rPr>
        <sz val="10"/>
        <rFont val="Times New Roman"/>
      </rPr>
      <t xml:space="preserve">'s </t>
    </r>
    <phoneticPr fontId="3" type="noConversion"/>
  </si>
  <si>
    <r>
      <t>M</t>
    </r>
    <r>
      <rPr>
        <vertAlign val="subscript"/>
        <sz val="11"/>
        <rFont val="Times New Roman"/>
      </rPr>
      <t>j</t>
    </r>
    <r>
      <rPr>
        <sz val="11"/>
        <rFont val="Times New Roman"/>
      </rPr>
      <t xml:space="preserve">'s </t>
    </r>
    <phoneticPr fontId="3" type="noConversion"/>
  </si>
  <si>
    <r>
      <t>SS</t>
    </r>
    <r>
      <rPr>
        <vertAlign val="subscript"/>
        <sz val="11"/>
        <rFont val="Times New Roman"/>
      </rPr>
      <t>j</t>
    </r>
    <r>
      <rPr>
        <sz val="11"/>
        <rFont val="Times New Roman"/>
      </rPr>
      <t>'s</t>
    </r>
    <phoneticPr fontId="3" type="noConversion"/>
  </si>
  <si>
    <r>
      <t xml:space="preserve">est </t>
    </r>
    <r>
      <rPr>
        <sz val="11"/>
        <rFont val="Symbol"/>
      </rPr>
      <t>s</t>
    </r>
    <r>
      <rPr>
        <vertAlign val="subscript"/>
        <sz val="11"/>
        <rFont val="Times"/>
      </rPr>
      <t>j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's </t>
    </r>
    <phoneticPr fontId="3" type="noConversion"/>
  </si>
  <si>
    <r>
      <t>S</t>
    </r>
    <r>
      <rPr>
        <vertAlign val="subscript"/>
        <sz val="11"/>
        <rFont val="Times New Roman"/>
      </rPr>
      <t>j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's </t>
    </r>
    <phoneticPr fontId="3" type="noConversion"/>
  </si>
  <si>
    <r>
      <t xml:space="preserve">est </t>
    </r>
    <r>
      <rPr>
        <sz val="11"/>
        <rFont val="Symbol"/>
      </rPr>
      <t>s</t>
    </r>
    <r>
      <rPr>
        <vertAlign val="subscript"/>
        <sz val="11"/>
        <rFont val="Times New Roman"/>
      </rPr>
      <t>Mj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's </t>
    </r>
    <phoneticPr fontId="3" type="noConversion"/>
  </si>
  <si>
    <r>
      <t>S</t>
    </r>
    <r>
      <rPr>
        <sz val="11"/>
        <rFont val="Times"/>
      </rPr>
      <t>T</t>
    </r>
    <r>
      <rPr>
        <vertAlign val="subscript"/>
        <sz val="11"/>
        <rFont val="Times"/>
      </rPr>
      <t>j</t>
    </r>
    <r>
      <rPr>
        <vertAlign val="superscript"/>
        <sz val="11"/>
        <rFont val="Times"/>
      </rPr>
      <t>2</t>
    </r>
    <r>
      <rPr>
        <sz val="11"/>
        <rFont val="Times"/>
      </rPr>
      <t>/n</t>
    </r>
    <r>
      <rPr>
        <vertAlign val="subscript"/>
        <sz val="11"/>
        <rFont val="Times"/>
      </rPr>
      <t>j</t>
    </r>
    <r>
      <rPr>
        <sz val="11"/>
        <rFont val="Times"/>
      </rPr>
      <t xml:space="preserve"> = </t>
    </r>
    <phoneticPr fontId="3" type="noConversion"/>
  </si>
  <si>
    <r>
      <t>SS</t>
    </r>
    <r>
      <rPr>
        <sz val="11"/>
        <rFont val="Times"/>
      </rPr>
      <t>x</t>
    </r>
    <r>
      <rPr>
        <vertAlign val="subscript"/>
        <sz val="11"/>
        <rFont val="Times"/>
      </rPr>
      <t>ij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</si>
  <si>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t xml:space="preserve">T = </t>
    <phoneticPr fontId="3" type="noConversion"/>
  </si>
  <si>
    <t xml:space="preserve">N = </t>
    <phoneticPr fontId="3" type="noConversion"/>
  </si>
  <si>
    <r>
      <t>T</t>
    </r>
    <r>
      <rPr>
        <vertAlign val="subscript"/>
        <sz val="11"/>
        <rFont val="Times New Roman"/>
      </rPr>
      <t>Cj</t>
    </r>
    <r>
      <rPr>
        <sz val="11"/>
        <rFont val="Times New Roman"/>
      </rPr>
      <t>'s:</t>
    </r>
    <phoneticPr fontId="3" type="noConversion"/>
  </si>
  <si>
    <t>= T</t>
    <phoneticPr fontId="3" type="noConversion"/>
  </si>
  <si>
    <t>a</t>
    <phoneticPr fontId="3" type="noConversion"/>
  </si>
  <si>
    <r>
      <t>n</t>
    </r>
    <r>
      <rPr>
        <vertAlign val="subscript"/>
        <sz val="11"/>
        <rFont val="Times"/>
      </rPr>
      <t>C</t>
    </r>
    <r>
      <rPr>
        <sz val="11"/>
        <rFont val="Times"/>
      </rPr>
      <t xml:space="preserve"> = </t>
    </r>
    <phoneticPr fontId="3" type="noConversion"/>
  </si>
  <si>
    <r>
      <t>n</t>
    </r>
    <r>
      <rPr>
        <vertAlign val="subscript"/>
        <sz val="11"/>
        <rFont val="Times"/>
      </rPr>
      <t>R</t>
    </r>
    <r>
      <rPr>
        <sz val="11"/>
        <rFont val="Times"/>
      </rPr>
      <t xml:space="preserve"> = </t>
    </r>
    <phoneticPr fontId="3" type="noConversion"/>
  </si>
  <si>
    <t>Columns</t>
    <phoneticPr fontId="3" type="noConversion"/>
  </si>
  <si>
    <t>Rows</t>
    <phoneticPr fontId="3" type="noConversion"/>
  </si>
  <si>
    <t>Interaction</t>
    <phoneticPr fontId="3" type="noConversion"/>
  </si>
  <si>
    <t>Within</t>
    <phoneticPr fontId="3" type="noConversion"/>
  </si>
  <si>
    <t>Total</t>
    <phoneticPr fontId="3" type="noConversion"/>
  </si>
  <si>
    <r>
      <t>S</t>
    </r>
    <r>
      <rPr>
        <sz val="11"/>
        <rFont val="Times New Roman"/>
      </rPr>
      <t>Y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  <phoneticPr fontId="3" type="noConversion"/>
  </si>
  <si>
    <t>Formulas</t>
    <phoneticPr fontId="3" type="noConversion"/>
  </si>
  <si>
    <t>Decision</t>
    <phoneticPr fontId="3" type="noConversion"/>
  </si>
  <si>
    <t>Vehicle Type</t>
    <phoneticPr fontId="3" type="noConversion"/>
  </si>
  <si>
    <t>Sedan</t>
    <phoneticPr fontId="3" type="noConversion"/>
  </si>
  <si>
    <t>SUV</t>
    <phoneticPr fontId="3" type="noConversion"/>
  </si>
  <si>
    <t>Minivan</t>
    <phoneticPr fontId="3" type="noConversion"/>
  </si>
  <si>
    <t xml:space="preserve">Mean = </t>
    <phoneticPr fontId="3" type="noConversion"/>
  </si>
  <si>
    <r>
      <t xml:space="preserve">est </t>
    </r>
    <r>
      <rPr>
        <sz val="11"/>
        <rFont val="Symbol"/>
      </rPr>
      <t>s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</si>
  <si>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t xml:space="preserve">Y' = </t>
    <phoneticPr fontId="3" type="noConversion"/>
  </si>
  <si>
    <t>b</t>
    <phoneticPr fontId="3" type="noConversion"/>
  </si>
  <si>
    <t>Formulas</t>
    <phoneticPr fontId="3" type="noConversion"/>
  </si>
  <si>
    <r>
      <t>T</t>
    </r>
    <r>
      <rPr>
        <vertAlign val="superscript"/>
        <sz val="11"/>
        <rFont val="Symbol"/>
      </rPr>
      <t>2</t>
    </r>
    <r>
      <rPr>
        <sz val="11"/>
        <rFont val="Symbol"/>
      </rPr>
      <t xml:space="preserve"> = </t>
    </r>
    <phoneticPr fontId="3" type="noConversion"/>
  </si>
  <si>
    <t>b</t>
    <phoneticPr fontId="3" type="noConversion"/>
  </si>
  <si>
    <t>ANOVA</t>
    <phoneticPr fontId="3" type="noConversion"/>
  </si>
  <si>
    <r>
      <t>a</t>
    </r>
    <r>
      <rPr>
        <sz val="11"/>
        <rFont val="Times"/>
      </rPr>
      <t xml:space="preserve"> = </t>
    </r>
    <phoneticPr fontId="3" type="noConversion"/>
  </si>
  <si>
    <t xml:space="preserve">crit t = </t>
    <phoneticPr fontId="3" type="noConversion"/>
  </si>
  <si>
    <t>d</t>
    <phoneticPr fontId="3" type="noConversion"/>
  </si>
  <si>
    <t xml:space="preserve">Obt t = </t>
    <phoneticPr fontId="3" type="noConversion"/>
  </si>
  <si>
    <t xml:space="preserve">SSB = </t>
    <phoneticPr fontId="3" type="noConversion"/>
  </si>
  <si>
    <t>Decision</t>
    <phoneticPr fontId="3" type="noConversion"/>
  </si>
  <si>
    <t>N/A</t>
    <phoneticPr fontId="3" type="noConversion"/>
  </si>
  <si>
    <r>
      <t>(M</t>
    </r>
    <r>
      <rPr>
        <vertAlign val="subscript"/>
        <sz val="11"/>
        <rFont val="Times"/>
      </rPr>
      <t>1</t>
    </r>
    <r>
      <rPr>
        <sz val="11"/>
        <rFont val="Times"/>
      </rPr>
      <t xml:space="preserve"> - M</t>
    </r>
    <r>
      <rPr>
        <vertAlign val="subscript"/>
        <sz val="11"/>
        <rFont val="Times"/>
      </rPr>
      <t>2</t>
    </r>
    <r>
      <rPr>
        <sz val="11"/>
        <rFont val="Times"/>
      </rPr>
      <t xml:space="preserve">) = </t>
    </r>
    <phoneticPr fontId="3" type="noConversion"/>
  </si>
  <si>
    <t>CI = ±</t>
    <phoneticPr fontId="3" type="noConversion"/>
  </si>
  <si>
    <t xml:space="preserve">Upper boundary = </t>
    <phoneticPr fontId="3" type="noConversion"/>
  </si>
  <si>
    <t xml:space="preserve">Lower boundary = </t>
    <phoneticPr fontId="3" type="noConversion"/>
  </si>
  <si>
    <t xml:space="preserve">J = </t>
    <phoneticPr fontId="3" type="noConversion"/>
  </si>
  <si>
    <t xml:space="preserve">K = </t>
    <phoneticPr fontId="3" type="noConversion"/>
  </si>
  <si>
    <t>MEANS:</t>
    <phoneticPr fontId="3" type="noConversion"/>
  </si>
  <si>
    <r>
      <t>M</t>
    </r>
    <r>
      <rPr>
        <vertAlign val="subscript"/>
        <sz val="11"/>
        <rFont val="Times New Roman"/>
      </rPr>
      <t>Rk</t>
    </r>
    <r>
      <rPr>
        <sz val="11"/>
        <rFont val="Times New Roman"/>
      </rPr>
      <t>'s</t>
    </r>
    <phoneticPr fontId="3" type="noConversion"/>
  </si>
  <si>
    <r>
      <t>M</t>
    </r>
    <r>
      <rPr>
        <vertAlign val="subscript"/>
        <sz val="11"/>
        <rFont val="Times New Roman"/>
      </rPr>
      <t>Cj</t>
    </r>
    <r>
      <rPr>
        <sz val="11"/>
        <rFont val="Times New Roman"/>
      </rPr>
      <t>'s:</t>
    </r>
    <phoneticPr fontId="3" type="noConversion"/>
  </si>
  <si>
    <t>= M</t>
    <phoneticPr fontId="3" type="noConversion"/>
  </si>
  <si>
    <t>TOTALS:</t>
    <phoneticPr fontId="3" type="noConversion"/>
  </si>
  <si>
    <r>
      <t>T</t>
    </r>
    <r>
      <rPr>
        <vertAlign val="subscript"/>
        <sz val="11"/>
        <rFont val="Times New Roman"/>
      </rPr>
      <t>Rk</t>
    </r>
    <r>
      <rPr>
        <sz val="11"/>
        <rFont val="Times New Roman"/>
      </rPr>
      <t>'s</t>
    </r>
    <phoneticPr fontId="3" type="noConversion"/>
  </si>
  <si>
    <r>
      <t xml:space="preserve">est </t>
    </r>
    <r>
      <rPr>
        <sz val="11"/>
        <rFont val="Symbol"/>
      </rPr>
      <t>s</t>
    </r>
    <r>
      <rPr>
        <vertAlign val="superscript"/>
        <sz val="11"/>
        <rFont val="Times"/>
      </rPr>
      <t>2</t>
    </r>
    <r>
      <rPr>
        <sz val="11"/>
        <rFont val="Times"/>
      </rPr>
      <t xml:space="preserve"> (Groups 1, 2) = </t>
    </r>
    <phoneticPr fontId="3" type="noConversion"/>
  </si>
  <si>
    <r>
      <t xml:space="preserve">est </t>
    </r>
    <r>
      <rPr>
        <sz val="11"/>
        <rFont val="Symbol"/>
      </rPr>
      <t>s</t>
    </r>
    <r>
      <rPr>
        <vertAlign val="superscript"/>
        <sz val="11"/>
        <rFont val="Times"/>
      </rPr>
      <t>2</t>
    </r>
    <r>
      <rPr>
        <vertAlign val="subscript"/>
        <sz val="11"/>
        <rFont val="Times"/>
      </rPr>
      <t>M2-M1</t>
    </r>
    <r>
      <rPr>
        <sz val="11"/>
        <rFont val="Times"/>
      </rPr>
      <t xml:space="preserve"> = </t>
    </r>
    <phoneticPr fontId="3" type="noConversion"/>
  </si>
  <si>
    <r>
      <t>(M</t>
    </r>
    <r>
      <rPr>
        <vertAlign val="subscript"/>
        <sz val="11"/>
        <rFont val="Times"/>
      </rPr>
      <t>1</t>
    </r>
    <r>
      <rPr>
        <sz val="11"/>
        <rFont val="Times"/>
      </rPr>
      <t xml:space="preserve"> - M</t>
    </r>
    <r>
      <rPr>
        <vertAlign val="subscript"/>
        <sz val="11"/>
        <rFont val="Times"/>
      </rPr>
      <t>2</t>
    </r>
    <r>
      <rPr>
        <sz val="11"/>
        <rFont val="Times"/>
      </rPr>
      <t xml:space="preserve">) = </t>
    </r>
    <phoneticPr fontId="3" type="noConversion"/>
  </si>
  <si>
    <t>Source</t>
    <phoneticPr fontId="3" type="noConversion"/>
  </si>
  <si>
    <t>df</t>
    <phoneticPr fontId="3" type="noConversion"/>
  </si>
  <si>
    <t>SS</t>
    <phoneticPr fontId="3" type="noConversion"/>
  </si>
  <si>
    <t>MS</t>
    <phoneticPr fontId="3" type="noConversion"/>
  </si>
  <si>
    <t>Obt F</t>
    <phoneticPr fontId="3" type="noConversion"/>
  </si>
  <si>
    <t>Crit F</t>
    <phoneticPr fontId="3" type="noConversion"/>
  </si>
  <si>
    <t>Between</t>
    <phoneticPr fontId="3" type="noConversion"/>
  </si>
  <si>
    <t xml:space="preserve">SSW = </t>
    <phoneticPr fontId="3" type="noConversion"/>
  </si>
  <si>
    <t>Child</t>
    <phoneticPr fontId="3" type="noConversion"/>
  </si>
  <si>
    <t>X = Age</t>
    <phoneticPr fontId="3" type="noConversion"/>
  </si>
  <si>
    <t>Y = time</t>
    <phoneticPr fontId="3" type="noConversion"/>
  </si>
  <si>
    <r>
      <t>S</t>
    </r>
    <r>
      <rPr>
        <sz val="11"/>
        <rFont val="Times New Roman"/>
      </rPr>
      <t>X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  <phoneticPr fontId="3" type="noConversion"/>
  </si>
  <si>
    <r>
      <t>df</t>
    </r>
    <r>
      <rPr>
        <vertAlign val="subscript"/>
        <sz val="10"/>
        <rFont val="Times New Roman"/>
      </rPr>
      <t>j</t>
    </r>
    <r>
      <rPr>
        <sz val="10"/>
        <rFont val="Times New Roman"/>
      </rPr>
      <t xml:space="preserve">'s </t>
    </r>
    <phoneticPr fontId="3" type="noConversion"/>
  </si>
  <si>
    <r>
      <t>S</t>
    </r>
    <r>
      <rPr>
        <sz val="11"/>
        <rFont val="Times New Roman"/>
      </rPr>
      <t>x</t>
    </r>
    <r>
      <rPr>
        <vertAlign val="subscript"/>
        <sz val="11"/>
        <rFont val="Times New Roman"/>
      </rPr>
      <t>i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's </t>
    </r>
    <phoneticPr fontId="3" type="noConversion"/>
  </si>
  <si>
    <t>b</t>
    <phoneticPr fontId="3" type="noConversion"/>
  </si>
  <si>
    <t>Proportion additive</t>
    <phoneticPr fontId="3" type="noConversion"/>
  </si>
  <si>
    <r>
      <t>w</t>
    </r>
    <r>
      <rPr>
        <vertAlign val="subscript"/>
        <sz val="11"/>
        <rFont val="Times"/>
      </rPr>
      <t>j</t>
    </r>
    <r>
      <rPr>
        <sz val="11"/>
        <rFont val="Times"/>
      </rPr>
      <t>'s (pass 2):</t>
    </r>
    <phoneticPr fontId="3" type="noConversion"/>
  </si>
  <si>
    <r>
      <t>w</t>
    </r>
    <r>
      <rPr>
        <vertAlign val="subscript"/>
        <sz val="11"/>
        <rFont val="Times"/>
      </rPr>
      <t>j</t>
    </r>
    <r>
      <rPr>
        <sz val="11"/>
        <rFont val="Times"/>
      </rPr>
      <t>'s (pass 3):</t>
    </r>
    <phoneticPr fontId="3" type="noConversion"/>
  </si>
  <si>
    <t xml:space="preserve">n = </t>
    <phoneticPr fontId="3" type="noConversion"/>
  </si>
  <si>
    <r>
      <t>SS</t>
    </r>
    <r>
      <rPr>
        <sz val="11"/>
        <rFont val="Times New Roman"/>
      </rPr>
      <t>T</t>
    </r>
    <r>
      <rPr>
        <vertAlign val="subscript"/>
        <sz val="11"/>
        <rFont val="Times New Roman"/>
      </rPr>
      <t>jk</t>
    </r>
    <r>
      <rPr>
        <vertAlign val="superscript"/>
        <sz val="11"/>
        <rFont val="Times New Roman"/>
      </rPr>
      <t>2</t>
    </r>
    <r>
      <rPr>
        <vertAlign val="subscript"/>
        <sz val="11"/>
        <rFont val="Times"/>
      </rPr>
      <t xml:space="preserve"> </t>
    </r>
    <r>
      <rPr>
        <sz val="11"/>
        <rFont val="Times"/>
      </rPr>
      <t>=</t>
    </r>
    <phoneticPr fontId="3" type="noConversion"/>
  </si>
  <si>
    <r>
      <t>S</t>
    </r>
    <r>
      <rPr>
        <sz val="11"/>
        <rFont val="Times New Roman"/>
      </rPr>
      <t>T</t>
    </r>
    <r>
      <rPr>
        <vertAlign val="subscript"/>
        <sz val="11"/>
        <rFont val="Times New Roman"/>
      </rPr>
      <t>Cj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  <phoneticPr fontId="3" type="noConversion"/>
  </si>
  <si>
    <r>
      <t>S</t>
    </r>
    <r>
      <rPr>
        <sz val="11"/>
        <rFont val="Times New Roman"/>
      </rPr>
      <t>T</t>
    </r>
    <r>
      <rPr>
        <vertAlign val="subscript"/>
        <sz val="11"/>
        <rFont val="Times New Roman"/>
      </rPr>
      <t>Rk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</si>
  <si>
    <t xml:space="preserve">df = </t>
    <phoneticPr fontId="3" type="noConversion"/>
  </si>
  <si>
    <t>Total</t>
  </si>
  <si>
    <t>= mean pass-1 weight</t>
    <phoneticPr fontId="3" type="noConversion"/>
  </si>
  <si>
    <t>= mean pass-2 weight</t>
    <phoneticPr fontId="3" type="noConversion"/>
  </si>
  <si>
    <t>= mean pass-3 weight</t>
    <phoneticPr fontId="3" type="noConversion"/>
  </si>
  <si>
    <r>
      <t>FitzoClassic (x</t>
    </r>
    <r>
      <rPr>
        <vertAlign val="subscript"/>
        <sz val="11"/>
        <rFont val="Times New Roman"/>
      </rPr>
      <t>i1</t>
    </r>
    <r>
      <rPr>
        <sz val="11"/>
        <rFont val="Times New Roman"/>
      </rPr>
      <t>)</t>
    </r>
  </si>
  <si>
    <r>
      <t>FitzoNeuveau (x</t>
    </r>
    <r>
      <rPr>
        <vertAlign val="subscript"/>
        <sz val="11"/>
        <rFont val="Times New Roman"/>
      </rPr>
      <t>i2</t>
    </r>
    <r>
      <rPr>
        <sz val="11"/>
        <rFont val="Times New Roman"/>
      </rPr>
      <t>)</t>
    </r>
  </si>
  <si>
    <t xml:space="preserve">J = </t>
    <phoneticPr fontId="3" type="noConversion"/>
  </si>
  <si>
    <t>ANOVA</t>
  </si>
  <si>
    <t>Source</t>
  </si>
  <si>
    <t>df</t>
  </si>
  <si>
    <t>SS</t>
  </si>
  <si>
    <t>MS</t>
  </si>
  <si>
    <t>Obt F</t>
  </si>
  <si>
    <t>Crit F</t>
  </si>
  <si>
    <t>Between</t>
  </si>
  <si>
    <t>Within</t>
  </si>
  <si>
    <t>a</t>
    <phoneticPr fontId="3" type="noConversion"/>
  </si>
  <si>
    <t xml:space="preserve">n = </t>
    <phoneticPr fontId="3" type="noConversion"/>
  </si>
  <si>
    <t>Excel</t>
    <phoneticPr fontId="3" type="noConversion"/>
  </si>
  <si>
    <t xml:space="preserve">crit z = </t>
    <phoneticPr fontId="3" type="noConversion"/>
  </si>
  <si>
    <r>
      <t xml:space="preserve">est </t>
    </r>
    <r>
      <rPr>
        <sz val="11"/>
        <rFont val="Symbol"/>
      </rPr>
      <t>s</t>
    </r>
    <r>
      <rPr>
        <vertAlign val="subscript"/>
        <sz val="11"/>
        <rFont val="Times"/>
      </rPr>
      <t>M2-M1</t>
    </r>
    <r>
      <rPr>
        <sz val="11"/>
        <rFont val="Times"/>
      </rPr>
      <t xml:space="preserve"> = </t>
    </r>
    <phoneticPr fontId="3" type="noConversion"/>
  </si>
  <si>
    <r>
      <t>S</t>
    </r>
    <r>
      <rPr>
        <sz val="11"/>
        <rFont val="Times New Roman"/>
      </rPr>
      <t>X =</t>
    </r>
  </si>
  <si>
    <r>
      <t>S</t>
    </r>
    <r>
      <rPr>
        <sz val="11"/>
        <rFont val="Times New Roman"/>
      </rPr>
      <t>Y =</t>
    </r>
  </si>
  <si>
    <r>
      <t>S</t>
    </r>
    <r>
      <rPr>
        <sz val="11"/>
        <rFont val="Times"/>
      </rPr>
      <t>XY =</t>
    </r>
  </si>
  <si>
    <r>
      <t>w</t>
    </r>
    <r>
      <rPr>
        <vertAlign val="subscript"/>
        <sz val="11"/>
        <rFont val="Times"/>
      </rPr>
      <t>j</t>
    </r>
    <r>
      <rPr>
        <sz val="11"/>
        <rFont val="Times"/>
      </rPr>
      <t>'s (pass 1):</t>
    </r>
    <phoneticPr fontId="3" type="noConversion"/>
  </si>
  <si>
    <r>
      <t>M</t>
    </r>
    <r>
      <rPr>
        <vertAlign val="sub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</si>
  <si>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r>
      <t>s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</si>
  <si>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t>Compute the correlation between the FitzoClassic  and FitzoNeuveau  scores for each subject. A high correlation would indicate that it was a within-subject's design.</t>
    <phoneticPr fontId="3" type="noConversion"/>
  </si>
  <si>
    <t xml:space="preserve">Relevent n = </t>
    <phoneticPr fontId="3" type="noConversion"/>
  </si>
  <si>
    <t>1</t>
    <phoneticPr fontId="3" type="noConversion"/>
  </si>
  <si>
    <t>3</t>
    <phoneticPr fontId="3" type="noConversion"/>
  </si>
  <si>
    <r>
      <t>In fact</t>
    </r>
    <r>
      <rPr>
        <sz val="11"/>
        <rFont val="Times"/>
      </rPr>
      <t>: r</t>
    </r>
    <r>
      <rPr>
        <vertAlign val="superscript"/>
        <sz val="11"/>
        <rFont val="Times"/>
      </rPr>
      <t>2</t>
    </r>
    <r>
      <rPr>
        <sz val="11"/>
        <rFont val="Times"/>
      </rPr>
      <t xml:space="preserve"> = </t>
    </r>
    <phoneticPr fontId="3" type="noConversion"/>
  </si>
  <si>
    <t>c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</si>
  <si>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</si>
  <si>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</si>
  <si>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</si>
  <si>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 xml:space="preserve">percent confidence: </t>
    <phoneticPr fontId="3" type="noConversion"/>
  </si>
  <si>
    <t>bonus</t>
    <phoneticPr fontId="3" type="noConversion"/>
  </si>
  <si>
    <r>
      <t>Bonus w</t>
    </r>
    <r>
      <rPr>
        <vertAlign val="subscript"/>
        <sz val="11"/>
        <rFont val="Times"/>
      </rPr>
      <t>j</t>
    </r>
    <r>
      <rPr>
        <sz val="11"/>
        <rFont val="Times"/>
      </rPr>
      <t>'s (Pass 2)</t>
    </r>
    <phoneticPr fontId="3" type="noConversion"/>
  </si>
  <si>
    <t xml:space="preserve">b = slope = </t>
    <phoneticPr fontId="3" type="noConversion"/>
  </si>
  <si>
    <t xml:space="preserve">a = intercept = </t>
    <phoneticPr fontId="3" type="noConversion"/>
  </si>
  <si>
    <t>infinite</t>
    <phoneticPr fontId="3" type="noConversion"/>
  </si>
  <si>
    <t>Adam</t>
  </si>
  <si>
    <t>2</t>
  </si>
  <si>
    <t>Amount of Salt Added (ounces)</t>
  </si>
  <si>
    <t>Elem.</t>
  </si>
  <si>
    <t>HS</t>
  </si>
  <si>
    <t>College</t>
  </si>
  <si>
    <r>
      <rPr>
        <sz val="11"/>
        <rFont val="Symbol"/>
      </rPr>
      <t>SS</t>
    </r>
    <r>
      <rPr>
        <sz val="11"/>
        <rFont val="Times New Roman"/>
      </rPr>
      <t>T</t>
    </r>
    <r>
      <rPr>
        <vertAlign val="subscript"/>
        <sz val="11"/>
        <rFont val="Times New Roman"/>
      </rPr>
      <t>jk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</si>
  <si>
    <r>
      <rPr>
        <sz val="11"/>
        <rFont val="Symbol"/>
      </rPr>
      <t>SSS</t>
    </r>
    <r>
      <rPr>
        <sz val="11"/>
        <rFont val="Times New Roman"/>
      </rPr>
      <t>x</t>
    </r>
    <r>
      <rPr>
        <vertAlign val="subscript"/>
        <sz val="11"/>
        <rFont val="Times New Roman"/>
      </rPr>
      <t>ijk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=</t>
    </r>
  </si>
  <si>
    <t>c</t>
  </si>
  <si>
    <t>d</t>
  </si>
  <si>
    <t>4</t>
  </si>
  <si>
    <r>
      <t>Note: Pearson r</t>
    </r>
    <r>
      <rPr>
        <vertAlign val="superscript"/>
        <sz val="11"/>
        <rFont val="Times"/>
      </rPr>
      <t>2</t>
    </r>
    <r>
      <rPr>
        <sz val="11"/>
        <rFont val="Times"/>
      </rPr>
      <t xml:space="preserve"> between means and weights: </t>
    </r>
  </si>
  <si>
    <r>
      <t>Bonus w</t>
    </r>
    <r>
      <rPr>
        <vertAlign val="subscript"/>
        <sz val="11"/>
        <rFont val="Times"/>
      </rPr>
      <t>j</t>
    </r>
    <r>
      <rPr>
        <sz val="11"/>
        <rFont val="Times"/>
      </rPr>
      <t>'s (Pass 1)</t>
    </r>
  </si>
  <si>
    <t>The trick is to begin by making the weights the means themselves!</t>
  </si>
  <si>
    <t>Then make the weights add to zero...</t>
  </si>
  <si>
    <t>Elem</t>
  </si>
  <si>
    <t>Optional: make weights be integers</t>
  </si>
  <si>
    <r>
      <t>Bonus w</t>
    </r>
    <r>
      <rPr>
        <vertAlign val="subscript"/>
        <sz val="11"/>
        <rFont val="Times"/>
      </rPr>
      <t>j</t>
    </r>
    <r>
      <rPr>
        <sz val="11"/>
        <rFont val="Times"/>
      </rPr>
      <t>'s (Pass 3)</t>
    </r>
  </si>
  <si>
    <t>Yiyu</t>
  </si>
  <si>
    <t>Suzanne</t>
  </si>
  <si>
    <t>You could not compute such a confidence interval. The z-transformed score has a variance of 1/sqrt((n-3)) which, because n = 3, would be uncomputable.</t>
  </si>
  <si>
    <t>can't do</t>
  </si>
  <si>
    <t>infinite</t>
  </si>
  <si>
    <r>
      <t>s</t>
    </r>
    <r>
      <rPr>
        <vertAlign val="subscript"/>
        <sz val="11"/>
        <rFont val="Times"/>
      </rPr>
      <t>M2</t>
    </r>
    <r>
      <rPr>
        <sz val="11"/>
        <rFont val="Times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</si>
</sst>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7" formatCode="0.0%"/>
  </numFmts>
  <fonts count="38" x14ac:knownFonts="1">
    <font>
      <sz val="11"/>
      <name val="Times"/>
    </font>
    <font>
      <sz val="10"/>
      <name val="Verdana"/>
    </font>
    <font>
      <sz val="10"/>
      <name val="Verdana"/>
    </font>
    <font>
      <sz val="8"/>
      <name val="Verdan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Symbol"/>
    </font>
    <font>
      <sz val="11"/>
      <name val="Times"/>
    </font>
    <font>
      <sz val="11"/>
      <name val="Times New Roman"/>
    </font>
    <font>
      <sz val="11"/>
      <name val="Symbol"/>
    </font>
    <font>
      <b/>
      <sz val="11"/>
      <name val="Times"/>
    </font>
    <font>
      <u/>
      <sz val="11"/>
      <name val="Times"/>
    </font>
    <font>
      <sz val="10"/>
      <name val="Times"/>
    </font>
    <font>
      <b/>
      <sz val="12"/>
      <name val="Times"/>
    </font>
    <font>
      <vertAlign val="subscript"/>
      <sz val="11"/>
      <name val="Times New Roman"/>
    </font>
    <font>
      <vertAlign val="superscript"/>
      <sz val="11"/>
      <name val="Times New Roman"/>
    </font>
    <font>
      <vertAlign val="superscript"/>
      <sz val="11"/>
      <name val="Symbol"/>
    </font>
    <font>
      <vertAlign val="subscript"/>
      <sz val="11"/>
      <name val="Times"/>
    </font>
    <font>
      <vertAlign val="superscript"/>
      <sz val="11"/>
      <name val="Times"/>
    </font>
    <font>
      <sz val="10"/>
      <name val="Times New Roman"/>
    </font>
    <font>
      <vertAlign val="subscript"/>
      <sz val="10"/>
      <name val="Times New Roman"/>
    </font>
    <font>
      <u/>
      <sz val="11"/>
      <color theme="10"/>
      <name val="Times"/>
    </font>
    <font>
      <u/>
      <sz val="11"/>
      <color theme="11"/>
      <name val="Times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33">
    <xf numFmtId="4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3" borderId="11" applyNumberFormat="0" applyAlignment="0" applyProtection="0"/>
    <xf numFmtId="0" fontId="15" fillId="16" borderId="12" applyNumberFormat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11" fillId="4" borderId="11" applyNumberFormat="0" applyAlignment="0" applyProtection="0"/>
    <xf numFmtId="0" fontId="14" fillId="0" borderId="16" applyNumberFormat="0" applyFill="0" applyAlignment="0" applyProtection="0"/>
    <xf numFmtId="0" fontId="10" fillId="9" borderId="0" applyNumberFormat="0" applyBorder="0" applyAlignment="0" applyProtection="0"/>
    <xf numFmtId="0" fontId="2" fillId="5" borderId="17" applyNumberFormat="0" applyFont="0" applyAlignment="0" applyProtection="0"/>
    <xf numFmtId="0" fontId="12" fillId="3" borderId="1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6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  <xf numFmtId="4" fontId="36" fillId="0" borderId="0" applyNumberFormat="0" applyFill="0" applyBorder="0" applyAlignment="0" applyProtection="0"/>
    <xf numFmtId="4" fontId="37" fillId="0" borderId="0" applyNumberFormat="0" applyFill="0" applyBorder="0" applyAlignment="0" applyProtection="0"/>
  </cellStyleXfs>
  <cellXfs count="244">
    <xf numFmtId="4" fontId="0" fillId="0" borderId="0" xfId="0"/>
    <xf numFmtId="4" fontId="0" fillId="0" borderId="0" xfId="0" applyNumberFormat="1" applyBorder="1" applyAlignment="1">
      <alignment horizontal="right" vertical="center"/>
    </xf>
    <xf numFmtId="4" fontId="25" fillId="0" borderId="0" xfId="0" applyFont="1" applyBorder="1" applyAlignment="1">
      <alignment horizontal="right" vertical="center"/>
    </xf>
    <xf numFmtId="4" fontId="0" fillId="0" borderId="0" xfId="0" applyBorder="1" applyAlignment="1">
      <alignment vertical="center"/>
    </xf>
    <xf numFmtId="4" fontId="0" fillId="0" borderId="0" xfId="0" quotePrefix="1" applyBorder="1" applyAlignment="1">
      <alignment vertical="center"/>
    </xf>
    <xf numFmtId="164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0" fillId="0" borderId="0" xfId="0" quotePrefix="1" applyNumberFormat="1" applyBorder="1" applyAlignment="1">
      <alignment horizontal="left" vertical="center"/>
    </xf>
    <xf numFmtId="3" fontId="0" fillId="0" borderId="0" xfId="0" quotePrefix="1" applyNumberFormat="1" applyBorder="1" applyAlignment="1">
      <alignment horizontal="center" vertical="center"/>
    </xf>
    <xf numFmtId="3" fontId="28" fillId="0" borderId="0" xfId="0" quotePrefix="1" applyNumberFormat="1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horizontal="left" vertical="center"/>
    </xf>
    <xf numFmtId="3" fontId="28" fillId="0" borderId="0" xfId="0" quotePrefix="1" applyNumberFormat="1" applyFont="1" applyBorder="1" applyAlignment="1">
      <alignment vertical="center"/>
    </xf>
    <xf numFmtId="4" fontId="24" fillId="0" borderId="0" xfId="0" applyFont="1" applyBorder="1" applyAlignment="1">
      <alignment horizontal="right" vertical="center" wrapText="1"/>
    </xf>
    <xf numFmtId="4" fontId="22" fillId="0" borderId="0" xfId="0" applyFont="1" applyBorder="1" applyAlignment="1">
      <alignment horizontal="right" vertical="center" wrapText="1"/>
    </xf>
    <xf numFmtId="4" fontId="23" fillId="0" borderId="0" xfId="0" applyFont="1" applyBorder="1" applyAlignment="1">
      <alignment horizontal="left" vertical="center" wrapText="1"/>
    </xf>
    <xf numFmtId="4" fontId="23" fillId="0" borderId="0" xfId="0" applyFont="1" applyBorder="1" applyAlignment="1">
      <alignment horizontal="right" vertical="center" wrapText="1"/>
    </xf>
    <xf numFmtId="165" fontId="23" fillId="0" borderId="0" xfId="0" applyNumberFormat="1" applyFont="1" applyBorder="1" applyAlignment="1">
      <alignment horizontal="left" vertical="center" wrapText="1"/>
    </xf>
    <xf numFmtId="165" fontId="2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4" fontId="0" fillId="0" borderId="0" xfId="0" quotePrefix="1" applyNumberForma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left" vertical="center"/>
    </xf>
    <xf numFmtId="3" fontId="0" fillId="0" borderId="8" xfId="0" applyNumberFormat="1" applyBorder="1" applyAlignment="1">
      <alignment horizontal="left" vertical="center"/>
    </xf>
    <xf numFmtId="4" fontId="22" fillId="0" borderId="0" xfId="0" applyFont="1" applyFill="1" applyBorder="1" applyAlignment="1">
      <alignment horizontal="right" vertical="center"/>
    </xf>
    <xf numFmtId="4" fontId="24" fillId="0" borderId="0" xfId="0" applyFont="1" applyAlignment="1">
      <alignment horizontal="right" vertical="center"/>
    </xf>
    <xf numFmtId="4" fontId="22" fillId="0" borderId="0" xfId="0" applyFont="1" applyBorder="1" applyAlignment="1">
      <alignment horizontal="right"/>
    </xf>
    <xf numFmtId="164" fontId="22" fillId="0" borderId="3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4" fontId="22" fillId="0" borderId="1" xfId="0" applyFont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164" fontId="2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22" fillId="0" borderId="0" xfId="0" applyFont="1" applyBorder="1" applyAlignment="1">
      <alignment horizontal="right" vertical="center"/>
    </xf>
    <xf numFmtId="4" fontId="0" fillId="0" borderId="2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" fontId="23" fillId="0" borderId="30" xfId="0" applyFont="1" applyBorder="1" applyAlignment="1">
      <alignment horizontal="center" wrapText="1"/>
    </xf>
    <xf numFmtId="3" fontId="0" fillId="0" borderId="30" xfId="0" applyNumberFormat="1" applyBorder="1" applyAlignment="1">
      <alignment horizontal="center" vertical="center"/>
    </xf>
    <xf numFmtId="4" fontId="23" fillId="0" borderId="29" xfId="0" applyFont="1" applyBorder="1" applyAlignment="1">
      <alignment horizontal="center" wrapText="1"/>
    </xf>
    <xf numFmtId="3" fontId="0" fillId="0" borderId="2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3" fontId="22" fillId="0" borderId="4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29" xfId="0" applyNumberFormat="1" applyBorder="1" applyAlignment="1">
      <alignment horizontal="right" vertical="center"/>
    </xf>
    <xf numFmtId="4" fontId="23" fillId="0" borderId="30" xfId="0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4" fontId="22" fillId="0" borderId="5" xfId="0" applyNumberFormat="1" applyFont="1" applyBorder="1" applyAlignment="1">
      <alignment horizontal="right" vertical="center"/>
    </xf>
    <xf numFmtId="4" fontId="22" fillId="0" borderId="9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left" vertical="center"/>
    </xf>
    <xf numFmtId="4" fontId="22" fillId="0" borderId="6" xfId="0" applyNumberFormat="1" applyFont="1" applyBorder="1" applyAlignment="1">
      <alignment vertical="center"/>
    </xf>
    <xf numFmtId="4" fontId="22" fillId="0" borderId="26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/>
    </xf>
    <xf numFmtId="4" fontId="22" fillId="0" borderId="9" xfId="0" applyNumberFormat="1" applyFont="1" applyBorder="1" applyAlignment="1">
      <alignment horizontal="left" vertical="center"/>
    </xf>
    <xf numFmtId="3" fontId="22" fillId="0" borderId="20" xfId="0" applyNumberFormat="1" applyFont="1" applyBorder="1" applyAlignment="1">
      <alignment horizontal="left" vertical="center"/>
    </xf>
    <xf numFmtId="164" fontId="22" fillId="0" borderId="20" xfId="0" applyNumberFormat="1" applyFont="1" applyBorder="1" applyAlignment="1">
      <alignment horizontal="left" vertical="center"/>
    </xf>
    <xf numFmtId="4" fontId="22" fillId="0" borderId="20" xfId="0" applyNumberFormat="1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left" vertical="center"/>
    </xf>
    <xf numFmtId="4" fontId="22" fillId="0" borderId="9" xfId="0" applyNumberFormat="1" applyFont="1" applyBorder="1" applyAlignment="1">
      <alignment horizontal="center" vertical="center"/>
    </xf>
    <xf numFmtId="4" fontId="0" fillId="0" borderId="0" xfId="0" applyAlignment="1">
      <alignment horizontal="right" vertical="center"/>
    </xf>
    <xf numFmtId="164" fontId="22" fillId="0" borderId="21" xfId="0" applyNumberFormat="1" applyFont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64" fontId="21" fillId="0" borderId="8" xfId="0" applyNumberFormat="1" applyFont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164" fontId="21" fillId="0" borderId="10" xfId="0" applyNumberFormat="1" applyFont="1" applyBorder="1" applyAlignment="1">
      <alignment horizontal="left" vertical="center"/>
    </xf>
    <xf numFmtId="4" fontId="23" fillId="0" borderId="29" xfId="0" applyFont="1" applyBorder="1" applyAlignment="1">
      <alignment horizontal="right" vertical="center" wrapText="1"/>
    </xf>
    <xf numFmtId="4" fontId="23" fillId="0" borderId="4" xfId="0" applyFont="1" applyBorder="1" applyAlignment="1">
      <alignment horizontal="center" vertical="center" wrapText="1"/>
    </xf>
    <xf numFmtId="4" fontId="23" fillId="0" borderId="30" xfId="0" applyFont="1" applyBorder="1" applyAlignment="1">
      <alignment horizontal="center" vertical="center" wrapText="1"/>
    </xf>
    <xf numFmtId="4" fontId="23" fillId="0" borderId="29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left" vertical="center" wrapText="1"/>
    </xf>
    <xf numFmtId="3" fontId="22" fillId="0" borderId="5" xfId="0" applyNumberFormat="1" applyFont="1" applyFill="1" applyBorder="1" applyAlignment="1">
      <alignment horizontal="left" vertical="center"/>
    </xf>
    <xf numFmtId="164" fontId="22" fillId="0" borderId="21" xfId="0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 applyAlignment="1">
      <alignment horizontal="left" vertical="center"/>
    </xf>
    <xf numFmtId="164" fontId="25" fillId="0" borderId="21" xfId="0" applyNumberFormat="1" applyFont="1" applyFill="1" applyBorder="1" applyAlignment="1">
      <alignment horizontal="center" vertical="center"/>
    </xf>
    <xf numFmtId="4" fontId="22" fillId="0" borderId="21" xfId="0" applyFont="1" applyFill="1" applyBorder="1" applyAlignment="1">
      <alignment horizontal="right" vertical="center"/>
    </xf>
    <xf numFmtId="3" fontId="22" fillId="0" borderId="21" xfId="0" applyNumberFormat="1" applyFont="1" applyFill="1" applyBorder="1" applyAlignment="1">
      <alignment horizontal="left" vertical="center"/>
    </xf>
    <xf numFmtId="4" fontId="22" fillId="0" borderId="6" xfId="0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left" vertical="center"/>
    </xf>
    <xf numFmtId="164" fontId="22" fillId="0" borderId="4" xfId="0" applyNumberFormat="1" applyFont="1" applyFill="1" applyBorder="1" applyAlignment="1">
      <alignment horizontal="right" vertical="center"/>
    </xf>
    <xf numFmtId="4" fontId="22" fillId="0" borderId="4" xfId="0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4" fontId="22" fillId="0" borderId="27" xfId="0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" fontId="22" fillId="0" borderId="0" xfId="0" applyFont="1" applyFill="1" applyBorder="1" applyAlignment="1">
      <alignment horizontal="center" vertical="center"/>
    </xf>
    <xf numFmtId="4" fontId="22" fillId="0" borderId="8" xfId="0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4" fontId="22" fillId="0" borderId="8" xfId="0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horizontal="left" vertical="center"/>
    </xf>
    <xf numFmtId="3" fontId="22" fillId="0" borderId="20" xfId="0" applyNumberFormat="1" applyFont="1" applyFill="1" applyBorder="1" applyAlignment="1">
      <alignment horizontal="left" vertical="center"/>
    </xf>
    <xf numFmtId="164" fontId="22" fillId="0" borderId="20" xfId="0" applyNumberFormat="1" applyFont="1" applyFill="1" applyBorder="1" applyAlignment="1">
      <alignment horizontal="left" vertical="center"/>
    </xf>
    <xf numFmtId="4" fontId="22" fillId="0" borderId="20" xfId="0" applyFont="1" applyFill="1" applyBorder="1" applyAlignment="1">
      <alignment horizontal="left" vertical="center"/>
    </xf>
    <xf numFmtId="4" fontId="22" fillId="0" borderId="10" xfId="0" applyFont="1" applyFill="1" applyBorder="1" applyAlignment="1">
      <alignment vertical="center"/>
    </xf>
    <xf numFmtId="9" fontId="22" fillId="0" borderId="0" xfId="39" applyFont="1" applyBorder="1" applyAlignment="1">
      <alignment horizontal="left"/>
    </xf>
    <xf numFmtId="4" fontId="0" fillId="0" borderId="0" xfId="0" applyAlignment="1">
      <alignment vertical="center"/>
    </xf>
    <xf numFmtId="164" fontId="22" fillId="0" borderId="0" xfId="0" applyNumberFormat="1" applyFont="1" applyBorder="1" applyAlignment="1">
      <alignment horizontal="left"/>
    </xf>
    <xf numFmtId="3" fontId="22" fillId="0" borderId="1" xfId="0" applyNumberFormat="1" applyFont="1" applyBorder="1" applyAlignment="1">
      <alignment horizontal="right"/>
    </xf>
    <xf numFmtId="4" fontId="23" fillId="0" borderId="22" xfId="0" applyFont="1" applyBorder="1" applyAlignment="1">
      <alignment horizontal="right" vertical="center" wrapText="1"/>
    </xf>
    <xf numFmtId="4" fontId="23" fillId="0" borderId="32" xfId="0" applyFont="1" applyBorder="1" applyAlignment="1">
      <alignment horizontal="center" vertical="center" wrapText="1"/>
    </xf>
    <xf numFmtId="4" fontId="23" fillId="0" borderId="33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29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4" fontId="23" fillId="0" borderId="23" xfId="0" applyNumberFormat="1" applyFont="1" applyBorder="1" applyAlignment="1">
      <alignment horizontal="center" vertical="center" wrapText="1"/>
    </xf>
    <xf numFmtId="4" fontId="23" fillId="0" borderId="24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4" fontId="23" fillId="0" borderId="20" xfId="0" applyFont="1" applyBorder="1" applyAlignment="1">
      <alignment horizontal="center" vertical="top" wrapText="1"/>
    </xf>
    <xf numFmtId="164" fontId="0" fillId="0" borderId="20" xfId="0" applyNumberFormat="1" applyBorder="1" applyAlignment="1">
      <alignment horizontal="left"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6" fillId="0" borderId="9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center"/>
    </xf>
    <xf numFmtId="9" fontId="22" fillId="0" borderId="0" xfId="39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/>
    </xf>
    <xf numFmtId="3" fontId="23" fillId="0" borderId="0" xfId="0" applyNumberFormat="1" applyFont="1" applyAlignment="1">
      <alignment horizontal="center" wrapText="1"/>
    </xf>
    <xf numFmtId="4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left" vertical="center"/>
    </xf>
    <xf numFmtId="3" fontId="23" fillId="0" borderId="2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3" fontId="22" fillId="0" borderId="0" xfId="39" applyNumberFormat="1" applyFont="1" applyBorder="1" applyAlignment="1">
      <alignment horizontal="left"/>
    </xf>
    <xf numFmtId="4" fontId="0" fillId="0" borderId="0" xfId="0" applyNumberFormat="1" applyBorder="1" applyAlignment="1">
      <alignment vertical="center" wrapText="1"/>
    </xf>
    <xf numFmtId="3" fontId="0" fillId="0" borderId="25" xfId="0" applyNumberFormat="1" applyFill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0" fillId="0" borderId="29" xfId="0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3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3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2" fillId="0" borderId="28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31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22" fillId="0" borderId="21" xfId="0" applyNumberFormat="1" applyFont="1" applyBorder="1" applyAlignment="1">
      <alignment horizontal="left" vertical="center"/>
    </xf>
    <xf numFmtId="4" fontId="22" fillId="0" borderId="6" xfId="0" applyNumberFormat="1" applyFont="1" applyBorder="1" applyAlignment="1">
      <alignment horizontal="left" vertical="center"/>
    </xf>
    <xf numFmtId="4" fontId="22" fillId="0" borderId="20" xfId="0" applyNumberFormat="1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9" xfId="0" applyFont="1" applyBorder="1" applyAlignment="1">
      <alignment horizontal="center" vertical="center" wrapText="1"/>
    </xf>
    <xf numFmtId="167" fontId="22" fillId="0" borderId="3" xfId="39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 vertical="center"/>
    </xf>
  </cellXfs>
  <cellStyles count="13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182" zoomScale="120" zoomScaleNormal="120" zoomScalePageLayoutView="120" workbookViewId="0">
      <selection activeCell="C206" sqref="C206"/>
    </sheetView>
  </sheetViews>
  <sheetFormatPr baseColWidth="10" defaultColWidth="12.5" defaultRowHeight="18" customHeight="1" x14ac:dyDescent="0"/>
  <cols>
    <col min="1" max="1" width="5.6640625" style="20" customWidth="1"/>
    <col min="2" max="2" width="18" style="7" customWidth="1"/>
    <col min="3" max="3" width="11.83203125" style="7" customWidth="1"/>
    <col min="4" max="4" width="13.33203125" style="7" customWidth="1"/>
    <col min="5" max="7" width="10.83203125" style="7" customWidth="1"/>
    <col min="8" max="8" width="15" style="7" customWidth="1"/>
    <col min="9" max="10" width="12.6640625" style="7" customWidth="1"/>
    <col min="11" max="12" width="10.83203125" style="7" customWidth="1"/>
    <col min="13" max="16384" width="12.5" style="7"/>
  </cols>
  <sheetData>
    <row r="1" spans="1:8" ht="18" customHeight="1">
      <c r="A1" s="18" t="s">
        <v>130</v>
      </c>
      <c r="B1" s="56" t="s">
        <v>86</v>
      </c>
      <c r="C1" s="57" t="s">
        <v>87</v>
      </c>
      <c r="D1" s="56" t="s">
        <v>88</v>
      </c>
      <c r="F1" s="55" t="s">
        <v>118</v>
      </c>
      <c r="G1" s="6">
        <f>COUNT(C2:C4)</f>
        <v>3</v>
      </c>
    </row>
    <row r="2" spans="1:8" ht="18" customHeight="1">
      <c r="A2" s="19"/>
      <c r="B2" s="58" t="s">
        <v>143</v>
      </c>
      <c r="C2" s="34">
        <v>4</v>
      </c>
      <c r="D2" s="59">
        <v>6</v>
      </c>
      <c r="E2" s="43" t="s">
        <v>122</v>
      </c>
      <c r="F2" s="6">
        <f>SUM(C2:C4)</f>
        <v>15</v>
      </c>
      <c r="G2" s="43" t="s">
        <v>123</v>
      </c>
      <c r="H2" s="6">
        <f>SUM(D2:D4)</f>
        <v>21</v>
      </c>
    </row>
    <row r="3" spans="1:8" ht="18" customHeight="1">
      <c r="A3" s="19"/>
      <c r="B3" s="58" t="s">
        <v>161</v>
      </c>
      <c r="C3" s="34">
        <v>2</v>
      </c>
      <c r="D3" s="59">
        <v>10</v>
      </c>
      <c r="E3" s="43" t="s">
        <v>89</v>
      </c>
      <c r="F3" s="6">
        <f>SUMSQ(C2:C4)</f>
        <v>101</v>
      </c>
      <c r="G3" s="43" t="s">
        <v>41</v>
      </c>
      <c r="H3" s="6">
        <f>SUMSQ(D2:D4)</f>
        <v>161</v>
      </c>
    </row>
    <row r="4" spans="1:8" ht="18" customHeight="1">
      <c r="B4" s="60" t="s">
        <v>162</v>
      </c>
      <c r="C4" s="39">
        <v>9</v>
      </c>
      <c r="D4" s="61">
        <v>5</v>
      </c>
      <c r="F4" s="43" t="s">
        <v>124</v>
      </c>
      <c r="G4" s="6">
        <f>SUMPRODUCT(C2:C4,D2:D4)</f>
        <v>89</v>
      </c>
    </row>
    <row r="5" spans="1:8" ht="18" customHeight="1">
      <c r="B5" s="34"/>
      <c r="C5" s="34"/>
      <c r="D5" s="52"/>
    </row>
    <row r="6" spans="1:8" ht="18" customHeight="1">
      <c r="C6" s="39" t="s">
        <v>42</v>
      </c>
      <c r="D6" s="57" t="s">
        <v>119</v>
      </c>
      <c r="E6" s="52"/>
      <c r="F6" s="52"/>
    </row>
    <row r="7" spans="1:8" ht="18" customHeight="1">
      <c r="B7" s="29" t="s">
        <v>140</v>
      </c>
      <c r="C7" s="52">
        <f>(G1*G4-F2*H2)/(G1*F3-F2^2)</f>
        <v>-0.61538461538461542</v>
      </c>
      <c r="D7" s="52">
        <f>SLOPE(D2:D4,C2:C4)</f>
        <v>-0.61538461538461542</v>
      </c>
    </row>
    <row r="8" spans="1:8" ht="18" customHeight="1">
      <c r="B8" s="29" t="s">
        <v>141</v>
      </c>
      <c r="C8" s="52">
        <f>(H2-C7*F2)/G1</f>
        <v>10.076923076923078</v>
      </c>
      <c r="D8" s="52">
        <f>INTERCEPT(D2:D4,C2:C4)</f>
        <v>10.076923076923077</v>
      </c>
    </row>
    <row r="9" spans="1:8" ht="18" customHeight="1">
      <c r="A9" s="19"/>
      <c r="B9" s="54"/>
      <c r="C9" s="54"/>
      <c r="D9" s="54"/>
    </row>
    <row r="10" spans="1:8" ht="18" customHeight="1" thickBot="1">
      <c r="A10" s="19"/>
      <c r="B10" s="1"/>
      <c r="C10" s="47"/>
      <c r="D10" s="54"/>
    </row>
    <row r="11" spans="1:8" ht="18" customHeight="1" thickBot="1">
      <c r="A11" s="19" t="s">
        <v>117</v>
      </c>
      <c r="B11" s="62" t="s">
        <v>50</v>
      </c>
      <c r="C11" s="49">
        <f>C3*C7+C8</f>
        <v>8.8461538461538467</v>
      </c>
      <c r="D11" s="54"/>
    </row>
    <row r="12" spans="1:8" ht="18" customHeight="1">
      <c r="A12" s="19"/>
      <c r="B12" s="54"/>
      <c r="C12" s="54"/>
      <c r="D12" s="54"/>
    </row>
    <row r="13" spans="1:8" ht="18" customHeight="1">
      <c r="A13" s="19" t="s">
        <v>51</v>
      </c>
      <c r="B13" s="9"/>
      <c r="C13" s="63" t="s">
        <v>52</v>
      </c>
      <c r="D13" s="64" t="s">
        <v>0</v>
      </c>
      <c r="E13" s="9"/>
      <c r="F13" s="1"/>
    </row>
    <row r="14" spans="1:8" ht="18" customHeight="1" thickBot="1">
      <c r="A14" s="19"/>
      <c r="B14" s="9" t="s">
        <v>1</v>
      </c>
      <c r="C14" s="46">
        <f>(G1*G4-F2*H2)/SQRT((G1*F3-F2^2)*(G1*H3-H2^2))</f>
        <v>-0.83862786937753464</v>
      </c>
      <c r="D14" s="46">
        <f>PEARSON(C2:C4,D2:D4)</f>
        <v>-0.83862786937753453</v>
      </c>
      <c r="E14" s="9"/>
      <c r="F14" s="1"/>
    </row>
    <row r="15" spans="1:8" ht="18" customHeight="1" thickBot="1">
      <c r="A15" s="19"/>
      <c r="B15" s="65" t="s">
        <v>2</v>
      </c>
      <c r="C15" s="241">
        <f>C14^2</f>
        <v>0.70329670329670335</v>
      </c>
      <c r="D15" s="46">
        <f>D14^2</f>
        <v>0.70329670329670313</v>
      </c>
      <c r="E15" s="9"/>
      <c r="F15" s="1"/>
    </row>
    <row r="16" spans="1:8" ht="35" customHeight="1">
      <c r="A16" s="19" t="s">
        <v>14</v>
      </c>
      <c r="B16" s="231" t="s">
        <v>163</v>
      </c>
      <c r="C16" s="231"/>
      <c r="D16" s="231"/>
      <c r="E16" s="231"/>
      <c r="F16" s="231"/>
      <c r="G16" s="231"/>
    </row>
    <row r="17" spans="1:10" ht="16" customHeight="1">
      <c r="A17" s="19"/>
      <c r="B17" s="207"/>
      <c r="C17" s="207"/>
      <c r="D17" s="207"/>
      <c r="E17" s="207"/>
      <c r="F17" s="207"/>
      <c r="G17" s="207"/>
    </row>
    <row r="18" spans="1:10" ht="18" customHeight="1">
      <c r="A18" s="19"/>
      <c r="B18" s="1"/>
      <c r="C18" s="11"/>
      <c r="D18" s="1"/>
      <c r="E18" s="1"/>
      <c r="F18" s="1"/>
    </row>
    <row r="19" spans="1:10" s="67" customFormat="1" ht="18" customHeight="1">
      <c r="A19" s="18" t="s">
        <v>144</v>
      </c>
      <c r="B19" s="12" t="s">
        <v>107</v>
      </c>
      <c r="C19" s="6">
        <f>COUNT(C21:E21)</f>
        <v>3</v>
      </c>
      <c r="D19" s="66"/>
      <c r="E19" s="9"/>
      <c r="F19" s="9"/>
    </row>
    <row r="20" spans="1:10" ht="18" customHeight="1">
      <c r="A20" s="19" t="s">
        <v>117</v>
      </c>
      <c r="B20" s="68"/>
      <c r="C20" s="13" t="s">
        <v>17</v>
      </c>
      <c r="D20" s="13" t="s">
        <v>18</v>
      </c>
      <c r="E20" s="13" t="s">
        <v>19</v>
      </c>
      <c r="F20" s="1"/>
      <c r="G20" s="14"/>
      <c r="H20" s="54"/>
    </row>
    <row r="21" spans="1:10" ht="18" customHeight="1" thickBot="1">
      <c r="A21" s="18"/>
      <c r="B21" s="69" t="s">
        <v>93</v>
      </c>
      <c r="C21" s="142">
        <v>0.05</v>
      </c>
      <c r="D21" s="143">
        <v>0.1</v>
      </c>
      <c r="E21" s="142">
        <v>0.18</v>
      </c>
      <c r="F21" s="1"/>
      <c r="G21" s="14"/>
      <c r="H21" s="54"/>
      <c r="I21" s="54"/>
      <c r="J21" s="54"/>
    </row>
    <row r="22" spans="1:10" ht="18" customHeight="1" thickBot="1">
      <c r="A22" s="19"/>
      <c r="B22" s="70" t="s">
        <v>20</v>
      </c>
      <c r="C22" s="138">
        <v>1</v>
      </c>
      <c r="D22" s="71">
        <f>D23+1</f>
        <v>3</v>
      </c>
      <c r="E22" s="138">
        <v>5</v>
      </c>
      <c r="F22" s="1"/>
      <c r="G22" s="34"/>
      <c r="H22" s="34"/>
      <c r="I22" s="34"/>
      <c r="J22" s="34"/>
    </row>
    <row r="23" spans="1:10" ht="18" customHeight="1" thickBot="1">
      <c r="A23" s="19"/>
      <c r="B23" s="70" t="s">
        <v>90</v>
      </c>
      <c r="C23" s="71">
        <f>C22-1</f>
        <v>0</v>
      </c>
      <c r="D23" s="138">
        <v>2</v>
      </c>
      <c r="E23" s="208">
        <f>E22-1</f>
        <v>4</v>
      </c>
      <c r="F23" s="1"/>
      <c r="G23" s="34"/>
      <c r="H23" s="34"/>
      <c r="I23" s="34"/>
      <c r="J23" s="34"/>
    </row>
    <row r="24" spans="1:10" ht="18" customHeight="1" thickBot="1">
      <c r="A24" s="19"/>
      <c r="B24" s="70" t="s">
        <v>21</v>
      </c>
      <c r="C24" s="145">
        <v>30</v>
      </c>
      <c r="D24" s="146">
        <f>D22*D25</f>
        <v>66</v>
      </c>
      <c r="E24" s="144">
        <f>E22*E25</f>
        <v>75</v>
      </c>
      <c r="F24" s="1"/>
      <c r="G24" s="34"/>
      <c r="H24" s="34"/>
      <c r="I24" s="34"/>
      <c r="J24" s="34"/>
    </row>
    <row r="25" spans="1:10" ht="18" customHeight="1" thickBot="1">
      <c r="A25" s="19"/>
      <c r="B25" s="26" t="s">
        <v>22</v>
      </c>
      <c r="C25" s="72">
        <f>C24/C22</f>
        <v>30</v>
      </c>
      <c r="D25" s="139">
        <v>22</v>
      </c>
      <c r="E25" s="139">
        <v>15</v>
      </c>
      <c r="F25" s="1"/>
      <c r="G25" s="34"/>
      <c r="H25" s="34"/>
      <c r="I25" s="34"/>
      <c r="J25" s="34"/>
    </row>
    <row r="26" spans="1:10" ht="18" customHeight="1" thickBot="1">
      <c r="A26" s="19"/>
      <c r="B26" s="23" t="s">
        <v>91</v>
      </c>
      <c r="C26" s="146">
        <f>C25^2</f>
        <v>900</v>
      </c>
      <c r="D26" s="146">
        <f>D27+D24^2/D22</f>
        <v>1476</v>
      </c>
      <c r="E26" s="144">
        <f>E27+E24^2/E22</f>
        <v>1155</v>
      </c>
      <c r="F26" s="1"/>
      <c r="G26" s="140"/>
      <c r="H26" s="34"/>
      <c r="I26" s="34"/>
      <c r="J26" s="34"/>
    </row>
    <row r="27" spans="1:10" ht="18" customHeight="1" thickBot="1">
      <c r="A27" s="19"/>
      <c r="B27" s="70" t="s">
        <v>23</v>
      </c>
      <c r="C27" s="140">
        <f>C26-C24^2/C22</f>
        <v>0</v>
      </c>
      <c r="D27" s="139">
        <v>24</v>
      </c>
      <c r="E27" s="72">
        <f>E28*E23</f>
        <v>30</v>
      </c>
      <c r="F27" s="1"/>
      <c r="G27" s="34"/>
      <c r="H27" s="34"/>
      <c r="I27" s="34"/>
      <c r="J27" s="34"/>
    </row>
    <row r="28" spans="1:10" ht="18" customHeight="1" thickBot="1">
      <c r="A28" s="19"/>
      <c r="B28" s="26" t="s">
        <v>24</v>
      </c>
      <c r="C28" s="72" t="s">
        <v>164</v>
      </c>
      <c r="D28" s="72">
        <f>D27/D23</f>
        <v>12</v>
      </c>
      <c r="E28" s="72">
        <f>E30*E22</f>
        <v>7.5</v>
      </c>
      <c r="F28" s="1"/>
      <c r="G28" s="34"/>
      <c r="H28" s="34"/>
      <c r="I28" s="34"/>
      <c r="J28" s="34"/>
    </row>
    <row r="29" spans="1:10" ht="18" customHeight="1" thickBot="1">
      <c r="A29" s="19"/>
      <c r="B29" s="26" t="s">
        <v>25</v>
      </c>
      <c r="C29" s="72">
        <f>C27/C22</f>
        <v>0</v>
      </c>
      <c r="D29" s="72">
        <f>D27/D22</f>
        <v>8</v>
      </c>
      <c r="E29" s="72">
        <f>E27/E22</f>
        <v>6</v>
      </c>
      <c r="F29" s="1"/>
      <c r="G29" s="34"/>
      <c r="H29" s="34"/>
      <c r="I29" s="34"/>
      <c r="J29" s="34"/>
    </row>
    <row r="30" spans="1:10" ht="18" customHeight="1" thickBot="1">
      <c r="A30" s="19"/>
      <c r="B30" s="26" t="s">
        <v>26</v>
      </c>
      <c r="C30" s="73" t="s">
        <v>164</v>
      </c>
      <c r="D30" s="72">
        <f>D28/D22</f>
        <v>4</v>
      </c>
      <c r="E30" s="139">
        <v>1.5</v>
      </c>
      <c r="F30" s="1"/>
      <c r="G30" s="34"/>
      <c r="H30" s="34"/>
      <c r="I30" s="34"/>
      <c r="J30" s="34"/>
    </row>
    <row r="31" spans="1:10" ht="18" customHeight="1">
      <c r="A31" s="19"/>
      <c r="B31" s="1"/>
      <c r="C31" s="11"/>
      <c r="D31" s="1"/>
      <c r="E31" s="1"/>
      <c r="F31" s="1"/>
      <c r="G31" s="34"/>
      <c r="H31" s="34"/>
      <c r="I31" s="34"/>
      <c r="J31" s="34"/>
    </row>
    <row r="32" spans="1:10" ht="18" customHeight="1">
      <c r="A32" s="19"/>
      <c r="B32" s="1"/>
      <c r="C32" s="1"/>
      <c r="D32" s="1"/>
      <c r="E32" s="1"/>
      <c r="F32" s="1"/>
      <c r="H32" s="54"/>
      <c r="I32" s="54"/>
      <c r="J32" s="54"/>
    </row>
    <row r="33" spans="1:8" s="67" customFormat="1" ht="18" customHeight="1">
      <c r="A33" s="19"/>
      <c r="B33" s="9" t="s">
        <v>29</v>
      </c>
      <c r="C33" s="155">
        <f>SUM(C24:E24)</f>
        <v>171</v>
      </c>
      <c r="D33" s="147"/>
      <c r="E33" s="9"/>
      <c r="F33" s="9"/>
    </row>
    <row r="34" spans="1:8" s="67" customFormat="1" ht="18" customHeight="1">
      <c r="A34" s="19"/>
      <c r="B34" s="9" t="s">
        <v>30</v>
      </c>
      <c r="C34" s="155">
        <f>SUM(C22:E22)</f>
        <v>9</v>
      </c>
      <c r="D34" s="46"/>
      <c r="E34" s="9"/>
      <c r="F34" s="9"/>
    </row>
    <row r="35" spans="1:8" s="67" customFormat="1" ht="18" customHeight="1">
      <c r="A35" s="19"/>
      <c r="B35" s="24" t="s">
        <v>15</v>
      </c>
      <c r="C35" s="190">
        <f>C33^2/C34</f>
        <v>3249</v>
      </c>
      <c r="D35" s="189"/>
      <c r="E35" s="189"/>
      <c r="F35" s="9"/>
    </row>
    <row r="36" spans="1:8" s="67" customFormat="1" ht="18" customHeight="1">
      <c r="A36" s="19"/>
      <c r="B36" s="24" t="s">
        <v>16</v>
      </c>
      <c r="C36" s="155">
        <f>C24^2/C22</f>
        <v>900</v>
      </c>
      <c r="D36" s="168">
        <f t="shared" ref="D36:E36" si="0">D24^2/D22</f>
        <v>1452</v>
      </c>
      <c r="E36" s="168">
        <f t="shared" si="0"/>
        <v>1125</v>
      </c>
      <c r="F36" s="9"/>
    </row>
    <row r="37" spans="1:8" s="67" customFormat="1" ht="18" customHeight="1">
      <c r="A37" s="19"/>
      <c r="B37" s="23" t="s">
        <v>27</v>
      </c>
      <c r="C37" s="155">
        <f>SUM(C36:E36)</f>
        <v>3477</v>
      </c>
      <c r="D37" s="51"/>
      <c r="E37" s="9"/>
      <c r="F37" s="9"/>
    </row>
    <row r="38" spans="1:8" s="67" customFormat="1" ht="18" customHeight="1">
      <c r="A38" s="19"/>
      <c r="B38" s="23" t="s">
        <v>28</v>
      </c>
      <c r="C38" s="155">
        <f>SUM(C26:E26)</f>
        <v>3531</v>
      </c>
      <c r="D38" s="9"/>
      <c r="E38" s="9"/>
      <c r="F38" s="9"/>
    </row>
    <row r="39" spans="1:8" s="67" customFormat="1" ht="18" customHeight="1">
      <c r="A39" s="19"/>
      <c r="B39" s="9" t="s">
        <v>60</v>
      </c>
      <c r="C39" s="155">
        <f>C37-C35</f>
        <v>228</v>
      </c>
      <c r="D39" s="33"/>
      <c r="E39" s="9"/>
      <c r="F39" s="9"/>
    </row>
    <row r="40" spans="1:8" s="67" customFormat="1" ht="18" customHeight="1">
      <c r="A40" s="19"/>
      <c r="B40" s="9" t="s">
        <v>85</v>
      </c>
      <c r="C40" s="155">
        <f>C38-C37</f>
        <v>54</v>
      </c>
      <c r="D40" s="9"/>
      <c r="E40" s="9"/>
      <c r="F40" s="9"/>
    </row>
    <row r="41" spans="1:8" s="67" customFormat="1" ht="18" customHeight="1" thickBot="1">
      <c r="A41" s="19"/>
      <c r="B41" s="9"/>
      <c r="D41" s="9"/>
      <c r="E41" s="9"/>
      <c r="F41" s="9"/>
    </row>
    <row r="42" spans="1:8" s="67" customFormat="1" ht="18" customHeight="1">
      <c r="A42" s="19" t="s">
        <v>92</v>
      </c>
      <c r="B42" s="76" t="s">
        <v>108</v>
      </c>
      <c r="C42" s="77"/>
      <c r="D42" s="78"/>
      <c r="E42" s="78"/>
      <c r="F42" s="79"/>
      <c r="G42" s="77"/>
      <c r="H42" s="80"/>
    </row>
    <row r="43" spans="1:8" s="67" customFormat="1" ht="18" customHeight="1">
      <c r="A43" s="19"/>
      <c r="B43" s="81" t="s">
        <v>109</v>
      </c>
      <c r="C43" s="82" t="s">
        <v>110</v>
      </c>
      <c r="D43" s="63" t="s">
        <v>111</v>
      </c>
      <c r="E43" s="63" t="s">
        <v>112</v>
      </c>
      <c r="F43" s="63" t="s">
        <v>113</v>
      </c>
      <c r="G43" s="82" t="s">
        <v>114</v>
      </c>
      <c r="H43" s="83" t="s">
        <v>43</v>
      </c>
    </row>
    <row r="44" spans="1:8" s="67" customFormat="1" ht="18" customHeight="1">
      <c r="A44" s="19"/>
      <c r="B44" s="84" t="s">
        <v>115</v>
      </c>
      <c r="C44" s="33">
        <f>C19-1</f>
        <v>2</v>
      </c>
      <c r="D44" s="151">
        <f>C39</f>
        <v>228</v>
      </c>
      <c r="E44" s="151">
        <f>D44/C44</f>
        <v>114</v>
      </c>
      <c r="F44" s="221">
        <f>E44/E45</f>
        <v>12.666666666666666</v>
      </c>
      <c r="G44" s="221">
        <f>FINV(0.05,C44,C45)</f>
        <v>5.1432528497847176</v>
      </c>
      <c r="H44" s="223" t="str">
        <f>IF(F44&gt;G44, "Reject H0", "Don't reject H0")</f>
        <v>Reject H0</v>
      </c>
    </row>
    <row r="45" spans="1:8" s="67" customFormat="1" ht="18" customHeight="1">
      <c r="A45" s="20"/>
      <c r="B45" s="84" t="s">
        <v>116</v>
      </c>
      <c r="C45" s="33">
        <f>C34-C19</f>
        <v>6</v>
      </c>
      <c r="D45" s="151">
        <f>C40</f>
        <v>54</v>
      </c>
      <c r="E45" s="151">
        <f>D45/C45</f>
        <v>9</v>
      </c>
      <c r="F45" s="237"/>
      <c r="G45" s="237"/>
      <c r="H45" s="238"/>
    </row>
    <row r="46" spans="1:8" s="67" customFormat="1" ht="18" customHeight="1" thickBot="1">
      <c r="A46" s="19"/>
      <c r="B46" s="85" t="s">
        <v>101</v>
      </c>
      <c r="C46" s="86">
        <f>C44+C45</f>
        <v>8</v>
      </c>
      <c r="D46" s="152">
        <f>D44+D45</f>
        <v>282</v>
      </c>
      <c r="E46" s="152"/>
      <c r="F46" s="88"/>
      <c r="G46" s="88"/>
      <c r="H46" s="89"/>
    </row>
    <row r="47" spans="1:8" s="67" customFormat="1" ht="18" customHeight="1" thickBot="1">
      <c r="A47" s="19"/>
      <c r="B47" s="9"/>
      <c r="C47" s="9"/>
      <c r="D47" s="153"/>
      <c r="E47" s="154"/>
      <c r="F47" s="9"/>
    </row>
    <row r="48" spans="1:8" s="67" customFormat="1" ht="18" customHeight="1">
      <c r="A48" s="19" t="s">
        <v>133</v>
      </c>
      <c r="B48" s="76" t="s">
        <v>108</v>
      </c>
      <c r="C48" s="77"/>
      <c r="D48" s="78"/>
      <c r="E48" s="78"/>
      <c r="F48" s="79"/>
      <c r="G48" s="77"/>
      <c r="H48" s="80"/>
    </row>
    <row r="49" spans="1:8" s="67" customFormat="1" ht="18" customHeight="1">
      <c r="A49" s="19"/>
      <c r="B49" s="81" t="s">
        <v>109</v>
      </c>
      <c r="C49" s="82" t="s">
        <v>110</v>
      </c>
      <c r="D49" s="63" t="s">
        <v>111</v>
      </c>
      <c r="E49" s="63" t="s">
        <v>112</v>
      </c>
      <c r="F49" s="63" t="s">
        <v>113</v>
      </c>
      <c r="G49" s="82" t="s">
        <v>114</v>
      </c>
      <c r="H49" s="83" t="s">
        <v>61</v>
      </c>
    </row>
    <row r="50" spans="1:8" s="67" customFormat="1" ht="18" customHeight="1">
      <c r="A50" s="19"/>
      <c r="B50" s="84" t="s">
        <v>115</v>
      </c>
      <c r="C50" s="33">
        <f>C19-1</f>
        <v>2</v>
      </c>
      <c r="D50" s="148">
        <f>C39</f>
        <v>228</v>
      </c>
      <c r="E50" s="148">
        <f>D50/C50</f>
        <v>114</v>
      </c>
      <c r="F50" s="221">
        <f>E50/E51</f>
        <v>7.125</v>
      </c>
      <c r="G50" s="221">
        <f>FINV(0.05,C50,100000)</f>
        <v>2.9958220194654563</v>
      </c>
      <c r="H50" s="223" t="str">
        <f>IF(F50&gt;G50, "Reject H0", "Don't reject H0")</f>
        <v>Reject H0</v>
      </c>
    </row>
    <row r="51" spans="1:8" s="67" customFormat="1" ht="18" customHeight="1" thickBot="1">
      <c r="A51" s="20"/>
      <c r="B51" s="90" t="s">
        <v>116</v>
      </c>
      <c r="C51" s="242" t="s">
        <v>165</v>
      </c>
      <c r="D51" s="149" t="s">
        <v>62</v>
      </c>
      <c r="E51" s="149">
        <v>16</v>
      </c>
      <c r="F51" s="222"/>
      <c r="G51" s="222"/>
      <c r="H51" s="224"/>
    </row>
    <row r="52" spans="1:8" s="67" customFormat="1" ht="18" customHeight="1">
      <c r="A52" s="19"/>
    </row>
    <row r="53" spans="1:8" s="67" customFormat="1" ht="18" customHeight="1">
      <c r="A53" s="19" t="s">
        <v>58</v>
      </c>
      <c r="B53" s="9" t="s">
        <v>137</v>
      </c>
      <c r="C53" s="191">
        <v>0.8</v>
      </c>
      <c r="D53" s="182"/>
      <c r="E53" s="9"/>
      <c r="F53" s="9"/>
    </row>
    <row r="54" spans="1:8" s="67" customFormat="1" ht="18" customHeight="1">
      <c r="B54" s="91" t="s">
        <v>126</v>
      </c>
      <c r="C54" s="155">
        <f>D25</f>
        <v>22</v>
      </c>
      <c r="D54" s="182"/>
      <c r="E54" s="9"/>
      <c r="F54" s="9"/>
    </row>
    <row r="55" spans="1:8" s="67" customFormat="1" ht="18" customHeight="1">
      <c r="A55" s="19"/>
      <c r="B55" s="23" t="s">
        <v>127</v>
      </c>
      <c r="C55" s="156">
        <f>E51</f>
        <v>16</v>
      </c>
      <c r="D55" s="182"/>
      <c r="E55" s="9"/>
      <c r="F55" s="9"/>
    </row>
    <row r="56" spans="1:8" s="67" customFormat="1" ht="18" customHeight="1">
      <c r="A56" s="19"/>
      <c r="B56" s="23" t="s">
        <v>166</v>
      </c>
      <c r="C56" s="5">
        <f>SQRT(C55/D22)</f>
        <v>2.3094010767585029</v>
      </c>
      <c r="D56" s="182"/>
      <c r="E56" s="9"/>
      <c r="F56" s="9"/>
    </row>
    <row r="57" spans="1:8" ht="18" customHeight="1">
      <c r="A57" s="19"/>
      <c r="B57" s="9" t="s">
        <v>100</v>
      </c>
      <c r="C57" s="6" t="s">
        <v>142</v>
      </c>
      <c r="D57" s="181"/>
      <c r="E57" s="1"/>
      <c r="F57" s="1"/>
    </row>
    <row r="58" spans="1:8" ht="18" customHeight="1" thickBot="1">
      <c r="A58" s="19"/>
      <c r="B58" s="9" t="s">
        <v>120</v>
      </c>
      <c r="C58" s="5">
        <f>TINV(1-C53,10000)</f>
        <v>1.2816362297302046</v>
      </c>
      <c r="D58" s="181"/>
      <c r="E58" s="1"/>
      <c r="F58" s="1"/>
    </row>
    <row r="59" spans="1:8" ht="18" customHeight="1">
      <c r="A59" s="19"/>
      <c r="B59" s="93" t="s">
        <v>64</v>
      </c>
      <c r="C59" s="50">
        <f>C56*C58</f>
        <v>2.9598120889516424</v>
      </c>
      <c r="D59" s="1"/>
      <c r="E59" s="1"/>
      <c r="F59" s="1"/>
    </row>
    <row r="60" spans="1:8" ht="18" customHeight="1">
      <c r="A60" s="19"/>
      <c r="B60" s="94" t="s">
        <v>65</v>
      </c>
      <c r="C60" s="95">
        <f>C54+C59</f>
        <v>24.959812088951644</v>
      </c>
      <c r="D60" s="180"/>
      <c r="E60" s="1"/>
      <c r="F60" s="1"/>
    </row>
    <row r="61" spans="1:8" ht="18" customHeight="1" thickBot="1">
      <c r="A61" s="19"/>
      <c r="B61" s="96" t="s">
        <v>66</v>
      </c>
      <c r="C61" s="97">
        <f>C54-C59</f>
        <v>19.040187911048356</v>
      </c>
      <c r="D61" s="180"/>
      <c r="E61" s="1"/>
      <c r="F61" s="1"/>
    </row>
    <row r="62" spans="1:8" s="67" customFormat="1" ht="18" customHeight="1">
      <c r="A62" s="19"/>
    </row>
    <row r="63" spans="1:8" s="3" customFormat="1" ht="18" customHeight="1">
      <c r="A63" s="19" t="s">
        <v>134</v>
      </c>
      <c r="B63" s="55" t="s">
        <v>125</v>
      </c>
      <c r="C63" s="198">
        <f>-C21</f>
        <v>-0.05</v>
      </c>
      <c r="D63" s="198">
        <f t="shared" ref="D63:E63" si="1">-D21</f>
        <v>-0.1</v>
      </c>
      <c r="E63" s="198">
        <f t="shared" si="1"/>
        <v>-0.18</v>
      </c>
      <c r="F63" s="141">
        <f>AVERAGE(C63:E63)</f>
        <v>-0.11</v>
      </c>
      <c r="G63" s="4" t="s">
        <v>102</v>
      </c>
    </row>
    <row r="64" spans="1:8" s="3" customFormat="1" ht="18" customHeight="1" thickBot="1">
      <c r="A64" s="2"/>
      <c r="B64" s="55" t="s">
        <v>94</v>
      </c>
      <c r="C64" s="198">
        <f>C63-$F$63</f>
        <v>0.06</v>
      </c>
      <c r="D64" s="198">
        <f>D63-$F$63</f>
        <v>9.999999999999995E-3</v>
      </c>
      <c r="E64" s="198">
        <f>E63-$F$63</f>
        <v>-6.9999999999999993E-2</v>
      </c>
      <c r="F64" s="141">
        <f>AVERAGE(C64:E64)</f>
        <v>0</v>
      </c>
      <c r="G64" s="4" t="s">
        <v>103</v>
      </c>
    </row>
    <row r="65" spans="1:7" s="3" customFormat="1" ht="18" customHeight="1" thickBot="1">
      <c r="A65" s="2"/>
      <c r="B65" s="48" t="s">
        <v>95</v>
      </c>
      <c r="C65" s="199">
        <f>C64*100</f>
        <v>6</v>
      </c>
      <c r="D65" s="199">
        <f t="shared" ref="D65:E65" si="2">D64*100</f>
        <v>0.99999999999999956</v>
      </c>
      <c r="E65" s="200">
        <f t="shared" si="2"/>
        <v>-6.9999999999999991</v>
      </c>
      <c r="F65" s="141">
        <f>AVERAGE(C65:E65)</f>
        <v>0</v>
      </c>
      <c r="G65" s="4" t="s">
        <v>104</v>
      </c>
    </row>
    <row r="66" spans="1:7" s="67" customFormat="1" ht="18" customHeight="1"/>
    <row r="67" spans="1:7" s="67" customFormat="1" ht="18" customHeight="1">
      <c r="A67" s="19" t="s">
        <v>135</v>
      </c>
      <c r="B67" s="91" t="s">
        <v>63</v>
      </c>
      <c r="C67" s="150">
        <f>C25-D25</f>
        <v>8</v>
      </c>
    </row>
    <row r="68" spans="1:7" s="67" customFormat="1" ht="18" customHeight="1">
      <c r="A68" s="19"/>
      <c r="B68" s="24" t="s">
        <v>75</v>
      </c>
      <c r="C68" s="150">
        <f>(C27+D27)/(C23+D23)</f>
        <v>12</v>
      </c>
    </row>
    <row r="69" spans="1:7" s="67" customFormat="1" ht="18" customHeight="1">
      <c r="A69" s="19"/>
      <c r="B69" s="24" t="s">
        <v>121</v>
      </c>
      <c r="C69" s="150">
        <f>SQRT(C68/C22+C68/D22)</f>
        <v>4</v>
      </c>
    </row>
    <row r="70" spans="1:7" s="67" customFormat="1" ht="18" customHeight="1" thickBot="1">
      <c r="A70" s="19"/>
      <c r="B70" s="9" t="s">
        <v>100</v>
      </c>
      <c r="C70" s="6">
        <f>C23+D23</f>
        <v>2</v>
      </c>
      <c r="D70" s="46"/>
      <c r="E70" s="9"/>
      <c r="F70" s="9"/>
    </row>
    <row r="71" spans="1:7" s="67" customFormat="1" ht="18" customHeight="1">
      <c r="A71" s="19"/>
      <c r="B71" s="74" t="s">
        <v>59</v>
      </c>
      <c r="C71" s="92">
        <f>(C67-0)/C69</f>
        <v>2</v>
      </c>
      <c r="D71" s="232" t="str">
        <f>IF(C71&gt;C72, "Reject H0", "Don't reject H0")</f>
        <v>Don't reject H0</v>
      </c>
      <c r="E71" s="233"/>
      <c r="F71" s="9"/>
    </row>
    <row r="72" spans="1:7" s="67" customFormat="1" ht="18" customHeight="1" thickBot="1">
      <c r="A72" s="19"/>
      <c r="B72" s="75" t="s">
        <v>57</v>
      </c>
      <c r="C72" s="87">
        <f>TINV(0.05, C70)</f>
        <v>4.3026527297494637</v>
      </c>
      <c r="D72" s="234"/>
      <c r="E72" s="235"/>
      <c r="F72" s="9"/>
    </row>
    <row r="73" spans="1:7" s="67" customFormat="1" ht="18" customHeight="1">
      <c r="A73" s="19"/>
      <c r="B73" s="9"/>
      <c r="D73" s="10"/>
      <c r="E73" s="9"/>
      <c r="F73" s="9"/>
    </row>
    <row r="74" spans="1:7" s="67" customFormat="1" ht="18" customHeight="1">
      <c r="A74" s="19" t="s">
        <v>136</v>
      </c>
      <c r="B74" s="9" t="s">
        <v>137</v>
      </c>
      <c r="C74" s="191">
        <v>0.5</v>
      </c>
      <c r="D74" s="182"/>
      <c r="E74" s="9"/>
      <c r="F74" s="9"/>
    </row>
    <row r="75" spans="1:7" s="67" customFormat="1" ht="18" customHeight="1">
      <c r="B75" s="91" t="s">
        <v>77</v>
      </c>
      <c r="C75" s="204">
        <f>C25-D25</f>
        <v>8</v>
      </c>
      <c r="D75" s="10"/>
      <c r="E75" s="9"/>
      <c r="F75" s="9"/>
    </row>
    <row r="76" spans="1:7" s="67" customFormat="1" ht="18" customHeight="1">
      <c r="A76" s="19"/>
      <c r="B76" s="24" t="s">
        <v>49</v>
      </c>
      <c r="C76" s="205">
        <f>E45</f>
        <v>9</v>
      </c>
      <c r="D76" s="10"/>
      <c r="E76" s="9"/>
      <c r="F76" s="9"/>
    </row>
    <row r="77" spans="1:7" s="67" customFormat="1" ht="18" customHeight="1">
      <c r="A77" s="19"/>
      <c r="B77" s="24" t="s">
        <v>76</v>
      </c>
      <c r="C77" s="5">
        <f>SQRT(C76/C22+C76/D22)</f>
        <v>3.4641016151377544</v>
      </c>
      <c r="D77" s="10"/>
      <c r="E77" s="9"/>
      <c r="F77" s="9"/>
    </row>
    <row r="78" spans="1:7" ht="18" customHeight="1">
      <c r="A78" s="19"/>
      <c r="B78" s="9" t="s">
        <v>100</v>
      </c>
      <c r="C78" s="6">
        <f>C45</f>
        <v>6</v>
      </c>
      <c r="D78" s="54"/>
      <c r="E78" s="1"/>
      <c r="F78" s="1"/>
    </row>
    <row r="79" spans="1:7" ht="18" customHeight="1" thickBot="1">
      <c r="A79" s="19"/>
      <c r="B79" s="9" t="s">
        <v>57</v>
      </c>
      <c r="C79" s="5">
        <f>TINV(1-C74, C78)</f>
        <v>0.71755819649141217</v>
      </c>
      <c r="D79" s="54"/>
      <c r="E79" s="1"/>
      <c r="F79" s="1"/>
    </row>
    <row r="80" spans="1:7" ht="18" customHeight="1">
      <c r="A80" s="19"/>
      <c r="B80" s="93" t="s">
        <v>64</v>
      </c>
      <c r="C80" s="50">
        <f>C77*C79</f>
        <v>2.4856945074212349</v>
      </c>
      <c r="D80" s="1"/>
      <c r="E80" s="1"/>
      <c r="F80" s="1"/>
    </row>
    <row r="81" spans="1:9" ht="18" customHeight="1">
      <c r="A81" s="19"/>
      <c r="B81" s="94" t="s">
        <v>65</v>
      </c>
      <c r="C81" s="95">
        <f>C75+C80</f>
        <v>10.485694507421234</v>
      </c>
      <c r="D81" s="47"/>
      <c r="E81" s="1"/>
      <c r="F81" s="1"/>
    </row>
    <row r="82" spans="1:9" ht="18" customHeight="1" thickBot="1">
      <c r="A82" s="19"/>
      <c r="B82" s="96" t="s">
        <v>66</v>
      </c>
      <c r="C82" s="97">
        <f>C75-C80</f>
        <v>5.5143054925787656</v>
      </c>
      <c r="D82" s="47"/>
      <c r="E82" s="1"/>
      <c r="F82" s="1"/>
    </row>
    <row r="83" spans="1:9" ht="18" customHeight="1">
      <c r="A83" s="19"/>
      <c r="B83" s="1"/>
      <c r="C83" s="15"/>
      <c r="D83" s="15"/>
      <c r="E83" s="1"/>
      <c r="F83" s="1"/>
    </row>
    <row r="84" spans="1:9" ht="18" customHeight="1">
      <c r="A84" s="19"/>
      <c r="B84" s="1"/>
      <c r="C84" s="14"/>
      <c r="D84" s="16"/>
      <c r="E84" s="1"/>
      <c r="F84" s="1"/>
    </row>
    <row r="85" spans="1:9" ht="18" customHeight="1">
      <c r="A85" s="18" t="s">
        <v>131</v>
      </c>
      <c r="B85" s="29" t="s">
        <v>67</v>
      </c>
      <c r="C85" s="53">
        <v>4</v>
      </c>
    </row>
    <row r="86" spans="1:9" ht="18" customHeight="1">
      <c r="A86" s="18"/>
      <c r="B86" s="29" t="s">
        <v>68</v>
      </c>
      <c r="C86" s="53">
        <v>3</v>
      </c>
      <c r="E86" s="29"/>
      <c r="F86" s="53"/>
    </row>
    <row r="87" spans="1:9" ht="18" customHeight="1">
      <c r="A87" s="18"/>
      <c r="B87" s="29" t="s">
        <v>96</v>
      </c>
      <c r="C87" s="53">
        <v>13</v>
      </c>
      <c r="E87" s="29"/>
      <c r="F87" s="53"/>
    </row>
    <row r="88" spans="1:9" ht="18" customHeight="1">
      <c r="A88" s="18"/>
      <c r="C88" s="29"/>
      <c r="D88" s="236" t="s">
        <v>145</v>
      </c>
      <c r="E88" s="236"/>
      <c r="F88" s="236"/>
      <c r="G88" s="236"/>
    </row>
    <row r="89" spans="1:9" ht="18" customHeight="1">
      <c r="A89" s="19"/>
      <c r="B89" s="26" t="s">
        <v>69</v>
      </c>
      <c r="C89" s="98"/>
      <c r="D89" s="157">
        <v>0</v>
      </c>
      <c r="E89" s="157">
        <v>0.01</v>
      </c>
      <c r="F89" s="157">
        <v>0.05</v>
      </c>
      <c r="G89" s="158">
        <v>0.1</v>
      </c>
      <c r="H89" s="99" t="s">
        <v>70</v>
      </c>
    </row>
    <row r="90" spans="1:9" ht="18" customHeight="1">
      <c r="A90" s="19"/>
      <c r="B90" s="13"/>
      <c r="C90" s="100" t="s">
        <v>146</v>
      </c>
      <c r="D90" s="159">
        <v>30</v>
      </c>
      <c r="E90" s="159">
        <v>27</v>
      </c>
      <c r="F90" s="159">
        <v>25</v>
      </c>
      <c r="G90" s="160">
        <v>22</v>
      </c>
      <c r="H90" s="178">
        <f>AVERAGE(D90:G90)</f>
        <v>26</v>
      </c>
    </row>
    <row r="91" spans="1:9" ht="18" customHeight="1">
      <c r="A91" s="19"/>
      <c r="B91" s="26" t="s">
        <v>44</v>
      </c>
      <c r="C91" s="100" t="s">
        <v>147</v>
      </c>
      <c r="D91" s="159">
        <v>19</v>
      </c>
      <c r="E91" s="159">
        <v>18</v>
      </c>
      <c r="F91" s="159">
        <v>17</v>
      </c>
      <c r="G91" s="160">
        <v>10</v>
      </c>
      <c r="H91" s="178">
        <f t="shared" ref="H91:H92" si="3">AVERAGE(D91:G91)</f>
        <v>16</v>
      </c>
    </row>
    <row r="92" spans="1:9" ht="18" customHeight="1">
      <c r="A92" s="19"/>
      <c r="B92" s="13"/>
      <c r="C92" s="101" t="s">
        <v>148</v>
      </c>
      <c r="D92" s="161">
        <v>20</v>
      </c>
      <c r="E92" s="161">
        <v>18</v>
      </c>
      <c r="F92" s="161">
        <v>17</v>
      </c>
      <c r="G92" s="162">
        <v>13</v>
      </c>
      <c r="H92" s="157">
        <f t="shared" si="3"/>
        <v>17</v>
      </c>
    </row>
    <row r="93" spans="1:9" ht="18" customHeight="1">
      <c r="A93" s="19"/>
      <c r="B93" s="13"/>
      <c r="C93" s="70" t="s">
        <v>71</v>
      </c>
      <c r="D93" s="178">
        <f>AVERAGE(D90:D92)</f>
        <v>23</v>
      </c>
      <c r="E93" s="178">
        <f t="shared" ref="E93:G93" si="4">AVERAGE(E90:E92)</f>
        <v>21</v>
      </c>
      <c r="F93" s="178">
        <f t="shared" si="4"/>
        <v>19.666666666666668</v>
      </c>
      <c r="G93" s="209">
        <f t="shared" si="4"/>
        <v>15</v>
      </c>
      <c r="H93" s="178">
        <f>AVERAGE(D90:G92)</f>
        <v>19.666666666666668</v>
      </c>
      <c r="I93" s="30" t="s">
        <v>72</v>
      </c>
    </row>
    <row r="94" spans="1:9" ht="18" customHeight="1">
      <c r="A94" s="21"/>
      <c r="B94" s="13"/>
      <c r="C94" s="25"/>
      <c r="D94" s="28"/>
      <c r="E94" s="28"/>
      <c r="F94" s="28"/>
      <c r="G94" s="28"/>
      <c r="H94" s="27"/>
    </row>
    <row r="95" spans="1:9" ht="18" customHeight="1">
      <c r="A95" s="18"/>
      <c r="C95" s="29"/>
      <c r="D95" s="236" t="s">
        <v>145</v>
      </c>
      <c r="E95" s="236"/>
      <c r="F95" s="236"/>
      <c r="G95" s="236"/>
    </row>
    <row r="96" spans="1:9" ht="18" customHeight="1">
      <c r="A96" s="19"/>
      <c r="B96" s="26" t="s">
        <v>73</v>
      </c>
      <c r="C96" s="98"/>
      <c r="D96" s="157">
        <v>0</v>
      </c>
      <c r="E96" s="157">
        <v>0.01</v>
      </c>
      <c r="F96" s="157">
        <v>0.05</v>
      </c>
      <c r="G96" s="158">
        <v>0.1</v>
      </c>
      <c r="H96" s="99" t="s">
        <v>74</v>
      </c>
    </row>
    <row r="97" spans="1:9" ht="18" customHeight="1">
      <c r="A97" s="19"/>
      <c r="B97" s="13"/>
      <c r="C97" s="100" t="s">
        <v>146</v>
      </c>
      <c r="D97" s="171">
        <f>D90*$C$87</f>
        <v>390</v>
      </c>
      <c r="E97" s="171">
        <f t="shared" ref="E97:G97" si="5">E90*$C$87</f>
        <v>351</v>
      </c>
      <c r="F97" s="171">
        <f t="shared" si="5"/>
        <v>325</v>
      </c>
      <c r="G97" s="171">
        <f t="shared" si="5"/>
        <v>286</v>
      </c>
      <c r="H97" s="163">
        <f>SUM(D97:G97)</f>
        <v>1352</v>
      </c>
    </row>
    <row r="98" spans="1:9" ht="18" customHeight="1">
      <c r="A98" s="19"/>
      <c r="B98" s="26" t="s">
        <v>44</v>
      </c>
      <c r="C98" s="100" t="s">
        <v>147</v>
      </c>
      <c r="D98" s="171">
        <f t="shared" ref="D98:G98" si="6">D91*$C$87</f>
        <v>247</v>
      </c>
      <c r="E98" s="171">
        <f t="shared" si="6"/>
        <v>234</v>
      </c>
      <c r="F98" s="171">
        <f t="shared" si="6"/>
        <v>221</v>
      </c>
      <c r="G98" s="171">
        <f t="shared" si="6"/>
        <v>130</v>
      </c>
      <c r="H98" s="163">
        <f t="shared" ref="H98:H99" si="7">SUM(D98:G98)</f>
        <v>832</v>
      </c>
    </row>
    <row r="99" spans="1:9" ht="18" customHeight="1">
      <c r="A99" s="19"/>
      <c r="B99" s="13"/>
      <c r="C99" s="101" t="s">
        <v>148</v>
      </c>
      <c r="D99" s="172">
        <f t="shared" ref="D99:G99" si="8">D92*$C$87</f>
        <v>260</v>
      </c>
      <c r="E99" s="172">
        <f t="shared" si="8"/>
        <v>234</v>
      </c>
      <c r="F99" s="172">
        <f t="shared" si="8"/>
        <v>221</v>
      </c>
      <c r="G99" s="172">
        <f t="shared" si="8"/>
        <v>169</v>
      </c>
      <c r="H99" s="165">
        <f t="shared" si="7"/>
        <v>884</v>
      </c>
    </row>
    <row r="100" spans="1:9" ht="18" customHeight="1">
      <c r="A100" s="19"/>
      <c r="B100" s="13"/>
      <c r="C100" s="70" t="s">
        <v>31</v>
      </c>
      <c r="D100" s="163">
        <f>SUM(D97:D99)</f>
        <v>897</v>
      </c>
      <c r="E100" s="163">
        <f t="shared" ref="E100:G100" si="9">SUM(E97:E99)</f>
        <v>819</v>
      </c>
      <c r="F100" s="163">
        <f t="shared" si="9"/>
        <v>767</v>
      </c>
      <c r="G100" s="164">
        <f t="shared" si="9"/>
        <v>585</v>
      </c>
      <c r="H100" s="192">
        <f>SUM(D97:G99)</f>
        <v>3068</v>
      </c>
      <c r="I100" s="30" t="s">
        <v>32</v>
      </c>
    </row>
    <row r="101" spans="1:9" ht="18" customHeight="1">
      <c r="A101" s="19"/>
      <c r="B101" s="13"/>
      <c r="C101" s="25"/>
      <c r="D101" s="28"/>
      <c r="E101" s="28"/>
      <c r="F101" s="28"/>
      <c r="G101" s="28"/>
    </row>
    <row r="102" spans="1:9" ht="18" customHeight="1" thickBot="1">
      <c r="B102" s="29"/>
      <c r="C102" s="53"/>
      <c r="D102" s="54"/>
      <c r="E102" s="54"/>
      <c r="F102" s="54"/>
    </row>
    <row r="103" spans="1:9" ht="18" customHeight="1">
      <c r="A103" s="19" t="s">
        <v>33</v>
      </c>
      <c r="B103" s="93" t="s">
        <v>34</v>
      </c>
      <c r="C103" s="40">
        <f>C86*C87</f>
        <v>39</v>
      </c>
      <c r="D103" s="54"/>
      <c r="E103" s="54"/>
      <c r="F103" s="54"/>
    </row>
    <row r="104" spans="1:9" ht="18" customHeight="1">
      <c r="A104" s="19"/>
      <c r="B104" s="94" t="s">
        <v>35</v>
      </c>
      <c r="C104" s="41">
        <f>C85*C87</f>
        <v>52</v>
      </c>
      <c r="D104" s="54"/>
      <c r="E104" s="54"/>
      <c r="F104" s="54"/>
    </row>
    <row r="105" spans="1:9" ht="18" customHeight="1" thickBot="1">
      <c r="A105" s="19"/>
      <c r="B105" s="96" t="s">
        <v>30</v>
      </c>
      <c r="C105" s="102">
        <f>C85*C86*C87</f>
        <v>156</v>
      </c>
      <c r="D105" s="1"/>
      <c r="E105" s="1"/>
      <c r="F105" s="1"/>
    </row>
    <row r="106" spans="1:9" ht="18" customHeight="1">
      <c r="A106" s="19"/>
      <c r="B106" s="14"/>
      <c r="C106" s="14"/>
      <c r="D106" s="47"/>
      <c r="E106" s="1"/>
      <c r="F106" s="1"/>
    </row>
    <row r="107" spans="1:9" ht="18" hidden="1" customHeight="1">
      <c r="A107" s="19"/>
      <c r="B107" s="43" t="s">
        <v>97</v>
      </c>
      <c r="C107" s="7">
        <f>SUMSQ(D97:G99)</f>
        <v>843986</v>
      </c>
      <c r="D107" s="47"/>
      <c r="E107" s="1"/>
      <c r="F107" s="1"/>
    </row>
    <row r="108" spans="1:9" ht="18" customHeight="1">
      <c r="A108" s="19"/>
      <c r="B108" s="43" t="s">
        <v>149</v>
      </c>
      <c r="C108" s="166">
        <f>SUMSQ(D97:G99)</f>
        <v>843986</v>
      </c>
      <c r="D108" s="47"/>
      <c r="E108" s="1"/>
      <c r="F108" s="1"/>
    </row>
    <row r="109" spans="1:9" ht="18" customHeight="1">
      <c r="A109" s="19"/>
      <c r="B109" s="43" t="s">
        <v>98</v>
      </c>
      <c r="C109" s="166">
        <f>SUMSQ(D100:G100)</f>
        <v>2405884</v>
      </c>
      <c r="D109" s="47"/>
      <c r="E109" s="1"/>
      <c r="F109" s="1"/>
    </row>
    <row r="110" spans="1:9" ht="18" customHeight="1">
      <c r="A110" s="19"/>
      <c r="B110" s="43" t="s">
        <v>99</v>
      </c>
      <c r="C110" s="166">
        <f>SUMSQ(H97:H99)</f>
        <v>3301584</v>
      </c>
      <c r="D110" s="14"/>
      <c r="E110" s="1"/>
      <c r="F110" s="1"/>
    </row>
    <row r="111" spans="1:9" ht="18" customHeight="1">
      <c r="A111" s="21"/>
      <c r="B111" s="43" t="s">
        <v>53</v>
      </c>
      <c r="C111" s="167">
        <f>H100^2</f>
        <v>9412624</v>
      </c>
      <c r="D111" s="54"/>
      <c r="E111" s="54"/>
      <c r="F111" s="54"/>
      <c r="G111" s="54"/>
      <c r="H111" s="54"/>
      <c r="I111" s="54"/>
    </row>
    <row r="112" spans="1:9" ht="18" customHeight="1">
      <c r="A112" s="21"/>
      <c r="B112" s="43" t="s">
        <v>150</v>
      </c>
      <c r="C112" s="173">
        <f>D120+C108/C87</f>
        <v>70682</v>
      </c>
      <c r="D112" s="54"/>
      <c r="E112" s="54"/>
      <c r="F112" s="54"/>
      <c r="G112" s="54"/>
      <c r="H112" s="54"/>
      <c r="I112" s="54"/>
    </row>
    <row r="113" spans="1:9" ht="18" customHeight="1" thickBot="1">
      <c r="A113" s="19"/>
      <c r="B113" s="1"/>
      <c r="C113" s="54"/>
      <c r="D113" s="54"/>
      <c r="E113" s="54"/>
      <c r="F113" s="34"/>
      <c r="G113" s="17"/>
      <c r="H113" s="34"/>
      <c r="I113" s="34"/>
    </row>
    <row r="114" spans="1:9" s="67" customFormat="1" ht="18" customHeight="1">
      <c r="A114" s="31" t="s">
        <v>54</v>
      </c>
      <c r="B114" s="103" t="s">
        <v>55</v>
      </c>
      <c r="C114" s="104" t="s">
        <v>56</v>
      </c>
      <c r="D114" s="105">
        <v>0.05</v>
      </c>
      <c r="E114" s="106"/>
      <c r="F114" s="107"/>
      <c r="G114" s="108"/>
      <c r="H114" s="109"/>
      <c r="I114" s="33"/>
    </row>
    <row r="115" spans="1:9" s="67" customFormat="1" ht="18" customHeight="1">
      <c r="A115" s="8"/>
      <c r="B115" s="110" t="s">
        <v>78</v>
      </c>
      <c r="C115" s="111" t="s">
        <v>79</v>
      </c>
      <c r="D115" s="111" t="s">
        <v>80</v>
      </c>
      <c r="E115" s="111" t="s">
        <v>81</v>
      </c>
      <c r="F115" s="112" t="s">
        <v>82</v>
      </c>
      <c r="G115" s="113" t="s">
        <v>83</v>
      </c>
      <c r="H115" s="114" t="s">
        <v>61</v>
      </c>
      <c r="I115" s="33"/>
    </row>
    <row r="116" spans="1:9" s="67" customFormat="1" ht="18" customHeight="1">
      <c r="A116" s="8"/>
      <c r="B116" s="115" t="s">
        <v>84</v>
      </c>
      <c r="C116" s="116">
        <f>(C85*C86)-1</f>
        <v>11</v>
      </c>
      <c r="D116" s="170">
        <f>C108/C87-C111/C105</f>
        <v>4584.6666666666642</v>
      </c>
      <c r="E116" s="117"/>
      <c r="F116" s="118"/>
      <c r="G116" s="117"/>
      <c r="H116" s="119"/>
      <c r="I116" s="33"/>
    </row>
    <row r="117" spans="1:9" s="67" customFormat="1" ht="18" customHeight="1">
      <c r="A117" s="8"/>
      <c r="B117" s="120" t="s">
        <v>36</v>
      </c>
      <c r="C117" s="121">
        <f>C85-1</f>
        <v>3</v>
      </c>
      <c r="D117" s="193">
        <f>C109/C103-C111/C105</f>
        <v>1352</v>
      </c>
      <c r="E117" s="243">
        <f t="shared" ref="E117:E119" si="10">D117/C117</f>
        <v>450.66666666666669</v>
      </c>
      <c r="F117" s="243">
        <f>E117/$E$120</f>
        <v>11.266666666666667</v>
      </c>
      <c r="G117" s="243">
        <f>FINV(0.05,C117,$C$120)</f>
        <v>2.6674430704770433</v>
      </c>
      <c r="H117" s="119" t="str">
        <f t="shared" ref="H117:H119" si="11">IF(F117&gt;G117," Reject H0", " Don't reject H0")</f>
        <v xml:space="preserve"> Reject H0</v>
      </c>
      <c r="I117" s="33"/>
    </row>
    <row r="118" spans="1:9" s="67" customFormat="1" ht="18" customHeight="1">
      <c r="A118" s="8"/>
      <c r="B118" s="120" t="s">
        <v>37</v>
      </c>
      <c r="C118" s="121">
        <f>C86-1</f>
        <v>2</v>
      </c>
      <c r="D118" s="193">
        <f>C110/C104-C111/C105</f>
        <v>3154.6666666666642</v>
      </c>
      <c r="E118" s="243">
        <f t="shared" si="10"/>
        <v>1577.3333333333321</v>
      </c>
      <c r="F118" s="243">
        <f t="shared" ref="F118:F119" si="12">E118/$E$120</f>
        <v>39.433333333333302</v>
      </c>
      <c r="G118" s="243">
        <f t="shared" ref="G118:G119" si="13">FINV(0.05,C118,$C$120)</f>
        <v>3.0589280005422923</v>
      </c>
      <c r="H118" s="119" t="str">
        <f t="shared" si="11"/>
        <v xml:space="preserve"> Reject H0</v>
      </c>
      <c r="I118" s="33"/>
    </row>
    <row r="119" spans="1:9" s="67" customFormat="1" ht="18" customHeight="1">
      <c r="A119" s="31"/>
      <c r="B119" s="120" t="s">
        <v>38</v>
      </c>
      <c r="C119" s="121">
        <f>C117*C118</f>
        <v>6</v>
      </c>
      <c r="D119" s="193">
        <f>D116-(D117+D118)</f>
        <v>78</v>
      </c>
      <c r="E119" s="243">
        <f t="shared" si="10"/>
        <v>13</v>
      </c>
      <c r="F119" s="243">
        <f t="shared" si="12"/>
        <v>0.32500000000000001</v>
      </c>
      <c r="G119" s="243">
        <f t="shared" si="13"/>
        <v>2.1620913240194346</v>
      </c>
      <c r="H119" s="119" t="str">
        <f t="shared" si="11"/>
        <v xml:space="preserve"> Don't reject H0</v>
      </c>
    </row>
    <row r="120" spans="1:9" s="67" customFormat="1" ht="18" customHeight="1">
      <c r="A120" s="31"/>
      <c r="B120" s="115" t="s">
        <v>39</v>
      </c>
      <c r="C120" s="116">
        <f>(C87-1)*C85*C86</f>
        <v>144</v>
      </c>
      <c r="D120" s="168">
        <f>C120*E120</f>
        <v>5760</v>
      </c>
      <c r="E120" s="170">
        <v>40</v>
      </c>
      <c r="F120" s="42"/>
      <c r="G120" s="122"/>
      <c r="H120" s="123"/>
    </row>
    <row r="121" spans="1:9" s="67" customFormat="1" ht="18" customHeight="1" thickBot="1">
      <c r="A121" s="31"/>
      <c r="B121" s="124" t="s">
        <v>40</v>
      </c>
      <c r="C121" s="125">
        <f>C116+C120</f>
        <v>155</v>
      </c>
      <c r="D121" s="169">
        <f>D116+D120</f>
        <v>10344.666666666664</v>
      </c>
      <c r="E121" s="126"/>
      <c r="F121" s="127"/>
      <c r="G121" s="125"/>
      <c r="H121" s="128"/>
    </row>
    <row r="122" spans="1:9" s="67" customFormat="1" ht="18" customHeight="1">
      <c r="A122" s="31"/>
      <c r="B122" s="9"/>
      <c r="C122" s="9"/>
      <c r="D122" s="9"/>
      <c r="E122" s="9"/>
      <c r="F122" s="9"/>
    </row>
    <row r="123" spans="1:9" ht="18" customHeight="1">
      <c r="A123" s="19" t="s">
        <v>151</v>
      </c>
      <c r="B123" s="7" t="s">
        <v>8</v>
      </c>
    </row>
    <row r="124" spans="1:9" ht="18" customHeight="1">
      <c r="B124" s="44" t="s">
        <v>9</v>
      </c>
      <c r="C124" s="129">
        <v>0.9</v>
      </c>
      <c r="H124" s="130"/>
    </row>
    <row r="125" spans="1:9" ht="18" customHeight="1">
      <c r="B125" s="44" t="s">
        <v>129</v>
      </c>
      <c r="C125" s="206">
        <f>C87</f>
        <v>13</v>
      </c>
      <c r="H125" s="130"/>
    </row>
    <row r="126" spans="1:9" ht="18" customHeight="1">
      <c r="A126" s="21"/>
      <c r="B126" s="44" t="s">
        <v>10</v>
      </c>
      <c r="C126" s="131">
        <f>SQRT($E$120/C125)</f>
        <v>1.7541160386140584</v>
      </c>
    </row>
    <row r="127" spans="1:9" ht="18" customHeight="1" thickBot="1">
      <c r="B127" s="44" t="s">
        <v>11</v>
      </c>
      <c r="C127" s="131">
        <f>TINV(1-C124,$C$120)</f>
        <v>1.6555041770875589</v>
      </c>
    </row>
    <row r="128" spans="1:9" ht="18" customHeight="1" thickBot="1">
      <c r="B128" s="132" t="s">
        <v>3</v>
      </c>
      <c r="C128" s="45">
        <f>C126*C127</f>
        <v>2.9039464290218553</v>
      </c>
    </row>
    <row r="129" spans="1:8" ht="18" customHeight="1">
      <c r="A129" s="21"/>
      <c r="B129" s="1"/>
      <c r="C129" s="54"/>
      <c r="D129" s="54"/>
    </row>
    <row r="130" spans="1:8" ht="18" customHeight="1">
      <c r="A130" s="19"/>
      <c r="B130" s="7" t="s">
        <v>12</v>
      </c>
      <c r="D130" s="1"/>
      <c r="E130" s="11"/>
      <c r="F130" s="1"/>
    </row>
    <row r="131" spans="1:8" ht="18" customHeight="1">
      <c r="A131" s="19"/>
      <c r="B131" s="44" t="s">
        <v>9</v>
      </c>
      <c r="C131" s="129">
        <v>0.9</v>
      </c>
      <c r="D131" s="1"/>
      <c r="E131" s="11"/>
      <c r="F131" s="1"/>
    </row>
    <row r="132" spans="1:8" ht="18" customHeight="1">
      <c r="B132" s="44" t="s">
        <v>129</v>
      </c>
      <c r="C132" s="206">
        <f>C104</f>
        <v>52</v>
      </c>
      <c r="H132" s="130"/>
    </row>
    <row r="133" spans="1:8" ht="18" customHeight="1">
      <c r="B133" s="44" t="s">
        <v>10</v>
      </c>
      <c r="C133" s="131">
        <f>SQRT($E$120/C132)</f>
        <v>0.8770580193070292</v>
      </c>
      <c r="F133" s="1"/>
    </row>
    <row r="134" spans="1:8" ht="18" customHeight="1" thickBot="1">
      <c r="A134" s="19"/>
      <c r="B134" s="44" t="s">
        <v>11</v>
      </c>
      <c r="C134" s="131">
        <f>TINV(1-C131,$C$120)</f>
        <v>1.6555041770875589</v>
      </c>
      <c r="F134" s="1"/>
    </row>
    <row r="135" spans="1:8" ht="18" customHeight="1" thickBot="1">
      <c r="A135" s="19"/>
      <c r="B135" s="132" t="s">
        <v>3</v>
      </c>
      <c r="C135" s="45">
        <f>C133*C134</f>
        <v>1.4519732145109276</v>
      </c>
      <c r="F135" s="1"/>
    </row>
    <row r="136" spans="1:8" ht="18" customHeight="1">
      <c r="A136" s="19"/>
      <c r="B136" s="1"/>
      <c r="C136" s="47"/>
      <c r="F136" s="11"/>
    </row>
    <row r="137" spans="1:8" ht="18" customHeight="1">
      <c r="A137" s="19" t="s">
        <v>152</v>
      </c>
      <c r="B137" s="98"/>
      <c r="C137" s="157">
        <v>0</v>
      </c>
      <c r="D137" s="157">
        <v>0.01</v>
      </c>
      <c r="E137" s="157">
        <v>0.05</v>
      </c>
      <c r="F137" s="157">
        <v>0.1</v>
      </c>
    </row>
    <row r="138" spans="1:8" ht="18" customHeight="1">
      <c r="B138" s="100" t="s">
        <v>146</v>
      </c>
      <c r="C138" s="176">
        <v>1</v>
      </c>
      <c r="D138" s="176">
        <v>1</v>
      </c>
      <c r="E138" s="176">
        <v>1</v>
      </c>
      <c r="F138" s="176">
        <v>1</v>
      </c>
      <c r="G138" s="226" t="s">
        <v>4</v>
      </c>
      <c r="H138" s="226"/>
    </row>
    <row r="139" spans="1:8" ht="18" customHeight="1">
      <c r="B139" s="100" t="s">
        <v>147</v>
      </c>
      <c r="C139" s="176">
        <v>0</v>
      </c>
      <c r="D139" s="176">
        <v>0</v>
      </c>
      <c r="E139" s="176">
        <v>0</v>
      </c>
      <c r="F139" s="176">
        <v>0</v>
      </c>
      <c r="G139" s="1" t="s">
        <v>48</v>
      </c>
      <c r="H139" s="177">
        <f>AVERAGE(C138:F140)</f>
        <v>0.33333333333333331</v>
      </c>
    </row>
    <row r="140" spans="1:8" ht="18" customHeight="1">
      <c r="B140" s="101" t="s">
        <v>148</v>
      </c>
      <c r="C140" s="172">
        <v>0</v>
      </c>
      <c r="D140" s="172">
        <v>0</v>
      </c>
      <c r="E140" s="172">
        <v>0</v>
      </c>
      <c r="F140" s="172">
        <v>0</v>
      </c>
    </row>
    <row r="141" spans="1:8" ht="18" customHeight="1">
      <c r="B141" s="13"/>
      <c r="C141" s="176"/>
      <c r="D141" s="176"/>
      <c r="E141" s="176"/>
      <c r="F141" s="176"/>
    </row>
    <row r="142" spans="1:8" ht="18" customHeight="1">
      <c r="A142" s="19"/>
      <c r="B142" s="98"/>
      <c r="C142" s="157">
        <v>0</v>
      </c>
      <c r="D142" s="157">
        <v>0.01</v>
      </c>
      <c r="E142" s="157">
        <v>0.05</v>
      </c>
      <c r="F142" s="157">
        <v>0.1</v>
      </c>
    </row>
    <row r="143" spans="1:8" ht="18" customHeight="1">
      <c r="B143" s="100" t="s">
        <v>45</v>
      </c>
      <c r="C143" s="179">
        <f>C138-$H$139</f>
        <v>0.66666666666666674</v>
      </c>
      <c r="D143" s="179">
        <f t="shared" ref="D143:F143" si="14">D138-$H$139</f>
        <v>0.66666666666666674</v>
      </c>
      <c r="E143" s="179">
        <f t="shared" si="14"/>
        <v>0.66666666666666674</v>
      </c>
      <c r="F143" s="179">
        <f t="shared" si="14"/>
        <v>0.66666666666666674</v>
      </c>
      <c r="G143" s="226" t="s">
        <v>5</v>
      </c>
      <c r="H143" s="226"/>
    </row>
    <row r="144" spans="1:8" ht="18" customHeight="1">
      <c r="B144" s="100" t="s">
        <v>46</v>
      </c>
      <c r="C144" s="179">
        <f t="shared" ref="C144:F144" si="15">C139-$H$139</f>
        <v>-0.33333333333333331</v>
      </c>
      <c r="D144" s="179">
        <f t="shared" si="15"/>
        <v>-0.33333333333333331</v>
      </c>
      <c r="E144" s="179">
        <f t="shared" si="15"/>
        <v>-0.33333333333333331</v>
      </c>
      <c r="F144" s="179">
        <f t="shared" si="15"/>
        <v>-0.33333333333333331</v>
      </c>
      <c r="G144" s="1" t="s">
        <v>48</v>
      </c>
      <c r="H144" s="177">
        <f>AVERAGE(C143:F145)</f>
        <v>0</v>
      </c>
    </row>
    <row r="145" spans="1:9" ht="18" customHeight="1">
      <c r="B145" s="100" t="s">
        <v>47</v>
      </c>
      <c r="C145" s="210">
        <f t="shared" ref="C145:F145" si="16">C140-$H$139</f>
        <v>-0.33333333333333331</v>
      </c>
      <c r="D145" s="210">
        <f t="shared" si="16"/>
        <v>-0.33333333333333331</v>
      </c>
      <c r="E145" s="210">
        <f t="shared" si="16"/>
        <v>-0.33333333333333331</v>
      </c>
      <c r="F145" s="210">
        <f t="shared" si="16"/>
        <v>-0.33333333333333331</v>
      </c>
    </row>
    <row r="146" spans="1:9" ht="18" customHeight="1" thickBot="1">
      <c r="B146" s="13"/>
      <c r="C146" s="179"/>
      <c r="D146" s="179"/>
      <c r="E146" s="179"/>
      <c r="F146" s="179"/>
    </row>
    <row r="147" spans="1:9" ht="18" customHeight="1">
      <c r="A147" s="19"/>
      <c r="B147" s="133"/>
      <c r="C147" s="174">
        <v>0</v>
      </c>
      <c r="D147" s="174">
        <v>0.01</v>
      </c>
      <c r="E147" s="174">
        <v>0.05</v>
      </c>
      <c r="F147" s="175">
        <v>0.1</v>
      </c>
    </row>
    <row r="148" spans="1:9" ht="18" customHeight="1">
      <c r="B148" s="134" t="s">
        <v>146</v>
      </c>
      <c r="C148" s="201">
        <f>C143*3</f>
        <v>2</v>
      </c>
      <c r="D148" s="201">
        <f t="shared" ref="D148:F148" si="17">D143*3</f>
        <v>2</v>
      </c>
      <c r="E148" s="201">
        <f t="shared" si="17"/>
        <v>2</v>
      </c>
      <c r="F148" s="194">
        <f t="shared" si="17"/>
        <v>2</v>
      </c>
      <c r="G148" s="226" t="s">
        <v>6</v>
      </c>
      <c r="H148" s="226"/>
    </row>
    <row r="149" spans="1:9" ht="18" customHeight="1">
      <c r="B149" s="134" t="s">
        <v>147</v>
      </c>
      <c r="C149" s="201">
        <f t="shared" ref="C149:F149" si="18">C144*3</f>
        <v>-1</v>
      </c>
      <c r="D149" s="201">
        <f t="shared" si="18"/>
        <v>-1</v>
      </c>
      <c r="E149" s="201">
        <f t="shared" si="18"/>
        <v>-1</v>
      </c>
      <c r="F149" s="194">
        <f t="shared" si="18"/>
        <v>-1</v>
      </c>
      <c r="G149" s="1" t="s">
        <v>48</v>
      </c>
      <c r="H149" s="177">
        <f>AVERAGE(C148:F150)</f>
        <v>0</v>
      </c>
    </row>
    <row r="150" spans="1:9" ht="18" customHeight="1" thickBot="1">
      <c r="B150" s="135" t="s">
        <v>148</v>
      </c>
      <c r="C150" s="203">
        <f t="shared" ref="C150:F150" si="19">C145*3</f>
        <v>-1</v>
      </c>
      <c r="D150" s="203">
        <f t="shared" si="19"/>
        <v>-1</v>
      </c>
      <c r="E150" s="203">
        <f t="shared" si="19"/>
        <v>-1</v>
      </c>
      <c r="F150" s="195">
        <f t="shared" si="19"/>
        <v>-1</v>
      </c>
    </row>
    <row r="151" spans="1:9" ht="18" customHeight="1">
      <c r="B151" s="13"/>
      <c r="C151" s="176"/>
      <c r="D151" s="176"/>
      <c r="E151" s="176"/>
      <c r="F151" s="176"/>
    </row>
    <row r="153" spans="1:9" ht="18" customHeight="1">
      <c r="A153" s="22"/>
      <c r="B153" s="98"/>
      <c r="C153" s="157">
        <v>0</v>
      </c>
      <c r="D153" s="157">
        <v>0.01</v>
      </c>
      <c r="E153" s="157">
        <v>0.05</v>
      </c>
      <c r="F153" s="157">
        <v>0.1</v>
      </c>
    </row>
    <row r="154" spans="1:9" ht="18" customHeight="1">
      <c r="B154" s="100" t="s">
        <v>146</v>
      </c>
      <c r="C154" s="178">
        <f t="shared" ref="C154:F156" si="20">-C$153</f>
        <v>0</v>
      </c>
      <c r="D154" s="178">
        <f t="shared" si="20"/>
        <v>-0.01</v>
      </c>
      <c r="E154" s="178">
        <f t="shared" si="20"/>
        <v>-0.05</v>
      </c>
      <c r="F154" s="178">
        <f t="shared" si="20"/>
        <v>-0.1</v>
      </c>
      <c r="G154" s="226" t="s">
        <v>7</v>
      </c>
      <c r="H154" s="226"/>
    </row>
    <row r="155" spans="1:9" ht="18" customHeight="1">
      <c r="B155" s="100" t="s">
        <v>147</v>
      </c>
      <c r="C155" s="178">
        <f t="shared" si="20"/>
        <v>0</v>
      </c>
      <c r="D155" s="178">
        <f t="shared" si="20"/>
        <v>-0.01</v>
      </c>
      <c r="E155" s="178">
        <f t="shared" si="20"/>
        <v>-0.05</v>
      </c>
      <c r="F155" s="178">
        <f t="shared" si="20"/>
        <v>-0.1</v>
      </c>
      <c r="G155" s="1" t="s">
        <v>48</v>
      </c>
      <c r="H155" s="177">
        <f>AVERAGE(C154:F156)</f>
        <v>-4.0000000000000008E-2</v>
      </c>
      <c r="I155" s="53"/>
    </row>
    <row r="156" spans="1:9" ht="18" customHeight="1">
      <c r="B156" s="101" t="s">
        <v>148</v>
      </c>
      <c r="C156" s="157">
        <f t="shared" si="20"/>
        <v>0</v>
      </c>
      <c r="D156" s="157">
        <f t="shared" si="20"/>
        <v>-0.01</v>
      </c>
      <c r="E156" s="157">
        <f t="shared" si="20"/>
        <v>-0.05</v>
      </c>
      <c r="F156" s="157">
        <f t="shared" si="20"/>
        <v>-0.1</v>
      </c>
    </row>
    <row r="158" spans="1:9" ht="18" customHeight="1">
      <c r="B158" s="98"/>
      <c r="C158" s="157">
        <v>0</v>
      </c>
      <c r="D158" s="157">
        <v>0.01</v>
      </c>
      <c r="E158" s="157">
        <v>0.05</v>
      </c>
      <c r="F158" s="157">
        <v>0.1</v>
      </c>
    </row>
    <row r="159" spans="1:9" ht="18" customHeight="1">
      <c r="B159" s="100" t="s">
        <v>146</v>
      </c>
      <c r="C159" s="178">
        <f>C154-$H$155</f>
        <v>4.0000000000000008E-2</v>
      </c>
      <c r="D159" s="178">
        <f t="shared" ref="D159:F159" si="21">D154-$H$155</f>
        <v>3.0000000000000006E-2</v>
      </c>
      <c r="E159" s="178">
        <f t="shared" si="21"/>
        <v>-9.999999999999995E-3</v>
      </c>
      <c r="F159" s="178">
        <f t="shared" si="21"/>
        <v>-0.06</v>
      </c>
      <c r="G159" s="226" t="s">
        <v>7</v>
      </c>
      <c r="H159" s="226"/>
    </row>
    <row r="160" spans="1:9" ht="18" customHeight="1">
      <c r="B160" s="100" t="s">
        <v>147</v>
      </c>
      <c r="C160" s="178">
        <f t="shared" ref="C160:F160" si="22">C155-$H$155</f>
        <v>4.0000000000000008E-2</v>
      </c>
      <c r="D160" s="178">
        <f t="shared" si="22"/>
        <v>3.0000000000000006E-2</v>
      </c>
      <c r="E160" s="178">
        <f t="shared" si="22"/>
        <v>-9.999999999999995E-3</v>
      </c>
      <c r="F160" s="178">
        <f t="shared" si="22"/>
        <v>-0.06</v>
      </c>
      <c r="G160" s="1" t="s">
        <v>48</v>
      </c>
      <c r="H160" s="177">
        <f>AVERAGE(C159:F161)</f>
        <v>5.7824115865893572E-18</v>
      </c>
    </row>
    <row r="161" spans="1:8" ht="18" customHeight="1">
      <c r="B161" s="101" t="s">
        <v>148</v>
      </c>
      <c r="C161" s="157">
        <f t="shared" ref="C161:F161" si="23">C156-$H$155</f>
        <v>4.0000000000000008E-2</v>
      </c>
      <c r="D161" s="157">
        <f t="shared" si="23"/>
        <v>3.0000000000000006E-2</v>
      </c>
      <c r="E161" s="157">
        <f t="shared" si="23"/>
        <v>-9.999999999999995E-3</v>
      </c>
      <c r="F161" s="157">
        <f t="shared" si="23"/>
        <v>-0.06</v>
      </c>
    </row>
    <row r="162" spans="1:8" ht="18" customHeight="1" thickBot="1"/>
    <row r="163" spans="1:8" ht="18" customHeight="1">
      <c r="B163" s="133"/>
      <c r="C163" s="174">
        <v>0</v>
      </c>
      <c r="D163" s="174">
        <v>0.01</v>
      </c>
      <c r="E163" s="174">
        <v>0.05</v>
      </c>
      <c r="F163" s="175">
        <v>0.1</v>
      </c>
    </row>
    <row r="164" spans="1:8" ht="18" customHeight="1">
      <c r="B164" s="134" t="s">
        <v>146</v>
      </c>
      <c r="C164" s="201">
        <f>C159*100</f>
        <v>4.0000000000000009</v>
      </c>
      <c r="D164" s="201">
        <f t="shared" ref="D164:F164" si="24">D159*100</f>
        <v>3.0000000000000004</v>
      </c>
      <c r="E164" s="201">
        <f t="shared" si="24"/>
        <v>-0.99999999999999956</v>
      </c>
      <c r="F164" s="194">
        <f t="shared" si="24"/>
        <v>-6</v>
      </c>
      <c r="G164" s="226" t="s">
        <v>7</v>
      </c>
      <c r="H164" s="226"/>
    </row>
    <row r="165" spans="1:8" ht="18" customHeight="1">
      <c r="B165" s="134" t="s">
        <v>147</v>
      </c>
      <c r="C165" s="201">
        <f t="shared" ref="C165:F165" si="25">C160*100</f>
        <v>4.0000000000000009</v>
      </c>
      <c r="D165" s="201">
        <f t="shared" si="25"/>
        <v>3.0000000000000004</v>
      </c>
      <c r="E165" s="201">
        <f t="shared" si="25"/>
        <v>-0.99999999999999956</v>
      </c>
      <c r="F165" s="194">
        <f t="shared" si="25"/>
        <v>-6</v>
      </c>
      <c r="G165" s="1" t="s">
        <v>48</v>
      </c>
      <c r="H165" s="177">
        <f>AVERAGE(C164:F166)</f>
        <v>0</v>
      </c>
    </row>
    <row r="166" spans="1:8" ht="18" customHeight="1" thickBot="1">
      <c r="B166" s="135" t="s">
        <v>148</v>
      </c>
      <c r="C166" s="203">
        <f t="shared" ref="C166:F166" si="26">C161*100</f>
        <v>4.0000000000000009</v>
      </c>
      <c r="D166" s="203">
        <f t="shared" si="26"/>
        <v>3.0000000000000004</v>
      </c>
      <c r="E166" s="203">
        <f t="shared" si="26"/>
        <v>-0.99999999999999956</v>
      </c>
      <c r="F166" s="195">
        <f t="shared" si="26"/>
        <v>-6</v>
      </c>
    </row>
    <row r="167" spans="1:8" ht="18" customHeight="1" thickBot="1"/>
    <row r="168" spans="1:8" ht="18" customHeight="1" thickBot="1">
      <c r="B168" s="136" t="s">
        <v>13</v>
      </c>
      <c r="C168" s="137">
        <f>SUMPRODUCT(C138:F140,C164:F166)</f>
        <v>1.7763568394002505E-15</v>
      </c>
    </row>
    <row r="169" spans="1:8" ht="18" customHeight="1">
      <c r="B169" s="32"/>
      <c r="C169" s="11"/>
    </row>
    <row r="171" spans="1:8" ht="32" customHeight="1" thickBot="1">
      <c r="A171" s="22" t="s">
        <v>153</v>
      </c>
      <c r="C171" s="184" t="s">
        <v>105</v>
      </c>
      <c r="D171" s="184" t="s">
        <v>106</v>
      </c>
    </row>
    <row r="172" spans="1:8" ht="18" customHeight="1">
      <c r="C172" s="197">
        <v>28</v>
      </c>
      <c r="D172" s="197">
        <v>30</v>
      </c>
    </row>
    <row r="173" spans="1:8" ht="18" customHeight="1">
      <c r="C173" s="197">
        <v>26</v>
      </c>
      <c r="D173" s="197">
        <v>27</v>
      </c>
    </row>
    <row r="174" spans="1:8" ht="18" customHeight="1">
      <c r="C174" s="197">
        <v>24</v>
      </c>
      <c r="D174" s="197">
        <v>26</v>
      </c>
    </row>
    <row r="175" spans="1:8" ht="18" customHeight="1">
      <c r="C175" s="197">
        <v>10</v>
      </c>
      <c r="D175" s="197">
        <v>12</v>
      </c>
    </row>
    <row r="176" spans="1:8" ht="18" customHeight="1">
      <c r="C176" s="197">
        <v>8</v>
      </c>
      <c r="D176" s="197">
        <v>9</v>
      </c>
    </row>
    <row r="177" spans="1:9" ht="18" customHeight="1">
      <c r="C177" s="197">
        <v>4</v>
      </c>
      <c r="D177" s="197">
        <v>7</v>
      </c>
    </row>
    <row r="178" spans="1:9" ht="18" customHeight="1" thickBot="1"/>
    <row r="179" spans="1:9" ht="32" customHeight="1">
      <c r="B179" s="228" t="s">
        <v>128</v>
      </c>
      <c r="C179" s="229"/>
      <c r="D179" s="229"/>
      <c r="E179" s="229"/>
      <c r="F179" s="229"/>
      <c r="G179" s="230"/>
    </row>
    <row r="180" spans="1:9" ht="18" customHeight="1" thickBot="1">
      <c r="A180" s="21"/>
      <c r="B180" s="188" t="s">
        <v>132</v>
      </c>
      <c r="C180" s="185">
        <f>PEARSON(C172:C177,D172:D177)^2</f>
        <v>0.99522415083184768</v>
      </c>
      <c r="D180" s="186"/>
      <c r="E180" s="186"/>
      <c r="F180" s="186"/>
      <c r="G180" s="187"/>
    </row>
    <row r="181" spans="1:9" ht="18" customHeight="1">
      <c r="B181" s="183"/>
      <c r="C181" s="183"/>
      <c r="D181" s="183"/>
      <c r="E181" s="183"/>
      <c r="F181" s="183"/>
      <c r="G181" s="183"/>
    </row>
    <row r="182" spans="1:9" ht="18" customHeight="1">
      <c r="B182" s="207"/>
      <c r="C182" s="207"/>
      <c r="D182" s="207"/>
      <c r="E182" s="207"/>
      <c r="F182" s="207"/>
      <c r="G182" s="207"/>
    </row>
    <row r="183" spans="1:9" ht="18" customHeight="1">
      <c r="A183" s="20" t="s">
        <v>138</v>
      </c>
      <c r="B183" s="207"/>
      <c r="C183" s="207"/>
      <c r="D183" s="207"/>
      <c r="E183" s="207"/>
      <c r="F183" s="207"/>
      <c r="G183" s="207"/>
    </row>
    <row r="184" spans="1:9" s="212" customFormat="1" ht="18" customHeight="1">
      <c r="A184" s="20"/>
      <c r="B184" s="211" t="s">
        <v>156</v>
      </c>
      <c r="C184" s="211"/>
    </row>
    <row r="185" spans="1:9" s="212" customFormat="1" ht="18" customHeight="1">
      <c r="A185" s="20"/>
      <c r="B185" s="213"/>
      <c r="C185" s="214">
        <v>0</v>
      </c>
      <c r="D185" s="214">
        <v>0.01</v>
      </c>
      <c r="E185" s="214">
        <v>0.05</v>
      </c>
      <c r="F185" s="214">
        <v>0.1</v>
      </c>
    </row>
    <row r="186" spans="1:9" s="212" customFormat="1" ht="18" customHeight="1">
      <c r="A186" s="20"/>
      <c r="B186" s="215" t="s">
        <v>158</v>
      </c>
      <c r="C186" s="216">
        <v>6</v>
      </c>
      <c r="D186" s="216">
        <v>5</v>
      </c>
      <c r="E186" s="216">
        <v>4</v>
      </c>
      <c r="F186" s="216">
        <v>4</v>
      </c>
      <c r="G186" s="225" t="s">
        <v>155</v>
      </c>
      <c r="H186" s="225"/>
    </row>
    <row r="187" spans="1:9" ht="18" customHeight="1">
      <c r="B187" s="100" t="s">
        <v>147</v>
      </c>
      <c r="C187" s="201">
        <v>3</v>
      </c>
      <c r="D187" s="201">
        <v>3</v>
      </c>
      <c r="E187" s="201">
        <v>1</v>
      </c>
      <c r="F187" s="201">
        <v>1</v>
      </c>
      <c r="G187" s="1" t="s">
        <v>48</v>
      </c>
      <c r="H187" s="11">
        <f>AVERAGE(C186:F188)</f>
        <v>2.75</v>
      </c>
      <c r="I187" s="196"/>
    </row>
    <row r="188" spans="1:9" ht="18" customHeight="1">
      <c r="B188" s="100" t="s">
        <v>148</v>
      </c>
      <c r="C188" s="201">
        <v>2</v>
      </c>
      <c r="D188" s="201">
        <v>2</v>
      </c>
      <c r="E188" s="201">
        <v>1</v>
      </c>
      <c r="F188" s="201">
        <v>1</v>
      </c>
    </row>
    <row r="189" spans="1:9" ht="18" customHeight="1">
      <c r="B189" s="13"/>
      <c r="C189" s="201"/>
      <c r="D189" s="201"/>
      <c r="E189" s="201"/>
      <c r="F189" s="201"/>
    </row>
    <row r="190" spans="1:9" ht="18" customHeight="1" thickBot="1">
      <c r="A190" s="19"/>
      <c r="B190" s="7" t="s">
        <v>157</v>
      </c>
    </row>
    <row r="191" spans="1:9" ht="18" customHeight="1">
      <c r="B191" s="133"/>
      <c r="C191" s="174">
        <v>0</v>
      </c>
      <c r="D191" s="174">
        <v>0.01</v>
      </c>
      <c r="E191" s="174">
        <v>0.05</v>
      </c>
      <c r="F191" s="174">
        <v>0.1</v>
      </c>
      <c r="G191" s="35"/>
      <c r="H191" s="36"/>
    </row>
    <row r="192" spans="1:9" ht="18" customHeight="1">
      <c r="B192" s="217" t="s">
        <v>158</v>
      </c>
      <c r="C192" s="178">
        <f>C186-$H$187</f>
        <v>3.25</v>
      </c>
      <c r="D192" s="178">
        <f t="shared" ref="D192:F192" si="27">D186-$H$187</f>
        <v>2.25</v>
      </c>
      <c r="E192" s="178">
        <f t="shared" si="27"/>
        <v>1.25</v>
      </c>
      <c r="F192" s="178">
        <f t="shared" si="27"/>
        <v>1.25</v>
      </c>
      <c r="G192" s="226" t="s">
        <v>139</v>
      </c>
      <c r="H192" s="227"/>
    </row>
    <row r="193" spans="2:8" ht="18" customHeight="1">
      <c r="B193" s="134" t="s">
        <v>147</v>
      </c>
      <c r="C193" s="178">
        <f t="shared" ref="C193:F193" si="28">C187-$H$187</f>
        <v>0.25</v>
      </c>
      <c r="D193" s="178">
        <f t="shared" si="28"/>
        <v>0.25</v>
      </c>
      <c r="E193" s="178">
        <f t="shared" si="28"/>
        <v>-1.75</v>
      </c>
      <c r="F193" s="178">
        <f t="shared" si="28"/>
        <v>-1.75</v>
      </c>
      <c r="G193" s="1" t="s">
        <v>48</v>
      </c>
      <c r="H193" s="202">
        <f>AVERAGE(C192:F194)</f>
        <v>0</v>
      </c>
    </row>
    <row r="194" spans="2:8" ht="18" customHeight="1" thickBot="1">
      <c r="B194" s="135" t="s">
        <v>148</v>
      </c>
      <c r="C194" s="239">
        <f t="shared" ref="C194:F194" si="29">C188-$H$187</f>
        <v>-0.75</v>
      </c>
      <c r="D194" s="239">
        <f t="shared" si="29"/>
        <v>-0.75</v>
      </c>
      <c r="E194" s="239">
        <f t="shared" si="29"/>
        <v>-1.75</v>
      </c>
      <c r="F194" s="239">
        <f t="shared" si="29"/>
        <v>-1.75</v>
      </c>
      <c r="G194" s="37"/>
      <c r="H194" s="38"/>
    </row>
    <row r="195" spans="2:8" ht="18" customHeight="1">
      <c r="B195" s="13"/>
      <c r="C195" s="178"/>
      <c r="D195" s="178"/>
      <c r="E195" s="178"/>
      <c r="F195" s="178"/>
    </row>
    <row r="196" spans="2:8" ht="18" customHeight="1" thickBot="1">
      <c r="B196" s="7" t="s">
        <v>159</v>
      </c>
    </row>
    <row r="197" spans="2:8" ht="18" customHeight="1">
      <c r="B197" s="133"/>
      <c r="C197" s="174">
        <v>0</v>
      </c>
      <c r="D197" s="174">
        <v>0.01</v>
      </c>
      <c r="E197" s="174">
        <v>0.05</v>
      </c>
      <c r="F197" s="174">
        <v>0.1</v>
      </c>
      <c r="G197" s="35"/>
      <c r="H197" s="36"/>
    </row>
    <row r="198" spans="2:8" ht="18" customHeight="1">
      <c r="B198" s="217" t="s">
        <v>158</v>
      </c>
      <c r="C198" s="201">
        <f>C192*4</f>
        <v>13</v>
      </c>
      <c r="D198" s="201">
        <f t="shared" ref="D198:F198" si="30">D192*4</f>
        <v>9</v>
      </c>
      <c r="E198" s="201">
        <f t="shared" si="30"/>
        <v>5</v>
      </c>
      <c r="F198" s="201">
        <f t="shared" si="30"/>
        <v>5</v>
      </c>
      <c r="G198" s="226" t="s">
        <v>160</v>
      </c>
      <c r="H198" s="227"/>
    </row>
    <row r="199" spans="2:8" ht="18" customHeight="1">
      <c r="B199" s="134" t="s">
        <v>147</v>
      </c>
      <c r="C199" s="201">
        <f t="shared" ref="C199:F199" si="31">C193*4</f>
        <v>1</v>
      </c>
      <c r="D199" s="201">
        <f t="shared" si="31"/>
        <v>1</v>
      </c>
      <c r="E199" s="201">
        <f t="shared" si="31"/>
        <v>-7</v>
      </c>
      <c r="F199" s="201">
        <f t="shared" si="31"/>
        <v>-7</v>
      </c>
      <c r="G199" s="1" t="s">
        <v>48</v>
      </c>
      <c r="H199" s="202">
        <f>AVERAGE(C198:F200)</f>
        <v>0</v>
      </c>
    </row>
    <row r="200" spans="2:8" ht="18" customHeight="1" thickBot="1">
      <c r="B200" s="135" t="s">
        <v>148</v>
      </c>
      <c r="C200" s="203">
        <f t="shared" ref="C200:F200" si="32">C194*4</f>
        <v>-3</v>
      </c>
      <c r="D200" s="203">
        <f t="shared" si="32"/>
        <v>-3</v>
      </c>
      <c r="E200" s="203">
        <f t="shared" si="32"/>
        <v>-7</v>
      </c>
      <c r="F200" s="203">
        <f t="shared" si="32"/>
        <v>-7</v>
      </c>
      <c r="G200" s="37"/>
      <c r="H200" s="38"/>
    </row>
    <row r="201" spans="2:8" ht="18" customHeight="1" thickBot="1">
      <c r="B201" s="240"/>
      <c r="C201" s="239"/>
      <c r="D201" s="239"/>
      <c r="E201" s="239"/>
      <c r="F201" s="178"/>
    </row>
    <row r="202" spans="2:8" ht="18" customHeight="1" thickBot="1">
      <c r="B202" s="218"/>
      <c r="C202" s="219"/>
      <c r="D202" s="220" t="s">
        <v>154</v>
      </c>
      <c r="E202" s="137">
        <f>RSQ(C186:F188,C192:F194)</f>
        <v>0.99999999999999978</v>
      </c>
    </row>
  </sheetData>
  <sortState ref="C172:D177">
    <sortCondition descending="1" ref="C172:C177"/>
  </sortState>
  <mergeCells count="20">
    <mergeCell ref="H44:H45"/>
    <mergeCell ref="G198:H198"/>
    <mergeCell ref="B16:G16"/>
    <mergeCell ref="D71:E72"/>
    <mergeCell ref="D88:G88"/>
    <mergeCell ref="D95:G95"/>
    <mergeCell ref="F44:F45"/>
    <mergeCell ref="G44:G45"/>
    <mergeCell ref="F50:F51"/>
    <mergeCell ref="G50:G51"/>
    <mergeCell ref="H50:H51"/>
    <mergeCell ref="G186:H186"/>
    <mergeCell ref="G192:H192"/>
    <mergeCell ref="B179:G179"/>
    <mergeCell ref="G138:H138"/>
    <mergeCell ref="G143:H143"/>
    <mergeCell ref="G148:H148"/>
    <mergeCell ref="G154:H154"/>
    <mergeCell ref="G159:H159"/>
    <mergeCell ref="G164:H164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Exam</vt:lpstr>
    </vt:vector>
  </TitlesOfParts>
  <Company>University of Washingtobn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2009-01-30T19:24:06Z</cp:lastPrinted>
  <dcterms:created xsi:type="dcterms:W3CDTF">2005-01-11T19:08:43Z</dcterms:created>
  <dcterms:modified xsi:type="dcterms:W3CDTF">2017-06-02T21:14:42Z</dcterms:modified>
</cp:coreProperties>
</file>