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80" yWindow="65116" windowWidth="14840" windowHeight="16400" tabRatio="514" activeTab="4"/>
  </bookViews>
  <sheets>
    <sheet name="Exam 1" sheetId="1" r:id="rId1"/>
    <sheet name="Exam 2" sheetId="2" r:id="rId2"/>
    <sheet name="Exam 3" sheetId="3" r:id="rId3"/>
    <sheet name="Exam 4" sheetId="4" r:id="rId4"/>
    <sheet name="Fina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<sst xmlns="http://schemas.openxmlformats.org/spreadsheetml/2006/main" count="525" uniqueCount="231">
  <si>
    <t>MSB</t>
  </si>
  <si>
    <t>MSW</t>
  </si>
  <si>
    <t>F(3,228)</t>
  </si>
  <si>
    <t>Sumxij1sq</t>
  </si>
  <si>
    <t>SSW (R1)</t>
  </si>
  <si>
    <t>MSW(R1)</t>
  </si>
  <si>
    <t>Total/col</t>
  </si>
  <si>
    <t>Total/row</t>
  </si>
  <si>
    <t>Sigmae</t>
  </si>
  <si>
    <t>Grand mu</t>
  </si>
  <si>
    <t>Data generation</t>
  </si>
  <si>
    <t>Mu (cars)</t>
  </si>
  <si>
    <t>Silence</t>
  </si>
  <si>
    <t>Classical</t>
  </si>
  <si>
    <t>Raggae</t>
  </si>
  <si>
    <t>Jazz</t>
  </si>
  <si>
    <t>est sig^2</t>
  </si>
  <si>
    <t>sem</t>
  </si>
  <si>
    <t>Mj</t>
  </si>
  <si>
    <t>TCj</t>
  </si>
  <si>
    <t>CI (HOV W, AA)</t>
  </si>
  <si>
    <t>estSigmaSq (AAM)</t>
  </si>
  <si>
    <t>SST</t>
  </si>
  <si>
    <t>dft</t>
  </si>
  <si>
    <t>est sigma</t>
  </si>
  <si>
    <t>SumX</t>
  </si>
  <si>
    <t>SumY</t>
  </si>
  <si>
    <t>SumX2</t>
  </si>
  <si>
    <t>SumY2</t>
  </si>
  <si>
    <t>SumXY</t>
  </si>
  <si>
    <t>rsq</t>
  </si>
  <si>
    <t>Mx</t>
  </si>
  <si>
    <t>SDx</t>
  </si>
  <si>
    <t>dfB</t>
  </si>
  <si>
    <t>SDY</t>
  </si>
  <si>
    <t>Morning</t>
  </si>
  <si>
    <t>Afternoon</t>
  </si>
  <si>
    <t>mean</t>
  </si>
  <si>
    <t>Pit Bulls</t>
  </si>
  <si>
    <t>sd</t>
  </si>
  <si>
    <t>Crit t(9)2Q .05</t>
  </si>
  <si>
    <t>SigmaM</t>
  </si>
  <si>
    <t>Crit z</t>
  </si>
  <si>
    <t>=N</t>
  </si>
  <si>
    <t>=dfW</t>
  </si>
  <si>
    <t>=T</t>
  </si>
  <si>
    <t>=SumXij^2</t>
  </si>
  <si>
    <t>=SSW</t>
  </si>
  <si>
    <t>S^2</t>
  </si>
  <si>
    <t>=SumTj^2/nj</t>
  </si>
  <si>
    <t>Crit</t>
  </si>
  <si>
    <t>est sigsq</t>
  </si>
  <si>
    <t>M2-M3</t>
  </si>
  <si>
    <t>estSigM2-M3</t>
  </si>
  <si>
    <t>J</t>
  </si>
  <si>
    <t>K</t>
  </si>
  <si>
    <t>=T^2/n</t>
  </si>
  <si>
    <t>xx</t>
  </si>
  <si>
    <t>se</t>
  </si>
  <si>
    <t>SumX^2</t>
  </si>
  <si>
    <t>est sem</t>
  </si>
  <si>
    <t>crit z</t>
  </si>
  <si>
    <t>1)</t>
  </si>
  <si>
    <t>2)</t>
  </si>
  <si>
    <t>3)</t>
  </si>
  <si>
    <t>Wj</t>
  </si>
  <si>
    <t>SumWjMj</t>
  </si>
  <si>
    <t>SumWj^2</t>
  </si>
  <si>
    <t>Tj</t>
  </si>
  <si>
    <t>SumTj^2/n</t>
  </si>
  <si>
    <t>SSH</t>
  </si>
  <si>
    <t>F</t>
  </si>
  <si>
    <t>Obt z</t>
  </si>
  <si>
    <t>sd Z</t>
  </si>
  <si>
    <t>Upper z</t>
  </si>
  <si>
    <t>Lower z</t>
  </si>
  <si>
    <t>Upper r</t>
  </si>
  <si>
    <t>Lower r</t>
  </si>
  <si>
    <t>Obt r</t>
  </si>
  <si>
    <t>Y'</t>
  </si>
  <si>
    <t>%var</t>
  </si>
  <si>
    <t>SSB (R3)</t>
  </si>
  <si>
    <t>ci</t>
  </si>
  <si>
    <t>sigmaM</t>
  </si>
  <si>
    <t>b, c</t>
  </si>
  <si>
    <t>H2</t>
  </si>
  <si>
    <t>Effects</t>
  </si>
  <si>
    <t>infinite</t>
  </si>
  <si>
    <t>g</t>
  </si>
  <si>
    <t>WF</t>
  </si>
  <si>
    <t>WM</t>
  </si>
  <si>
    <t>BM</t>
  </si>
  <si>
    <t>HM</t>
  </si>
  <si>
    <t>SumTjsq/n</t>
  </si>
  <si>
    <t>Tjsq/n</t>
  </si>
  <si>
    <t>nj</t>
  </si>
  <si>
    <t>dfj</t>
  </si>
  <si>
    <t>SumX2j</t>
  </si>
  <si>
    <t>SSj</t>
  </si>
  <si>
    <t>estjSigma^2</t>
  </si>
  <si>
    <t>CI (HOV Whites)</t>
  </si>
  <si>
    <t>estSigmaSq (WM)</t>
  </si>
  <si>
    <t>Robbery</t>
  </si>
  <si>
    <t>Armed Robbery</t>
  </si>
  <si>
    <t>Murder</t>
  </si>
  <si>
    <t>interaction sd</t>
  </si>
  <si>
    <t>Tcj</t>
  </si>
  <si>
    <t>Trk</t>
  </si>
  <si>
    <t>SumSquared</t>
  </si>
  <si>
    <t>Columns</t>
  </si>
  <si>
    <t>Rows</t>
  </si>
  <si>
    <t>Interaction</t>
  </si>
  <si>
    <t>X</t>
  </si>
  <si>
    <t>Y</t>
  </si>
  <si>
    <t>SDy</t>
  </si>
  <si>
    <t>H</t>
  </si>
  <si>
    <t>1</t>
  </si>
  <si>
    <t>Total</t>
  </si>
  <si>
    <t>Mean</t>
  </si>
  <si>
    <t>SS</t>
  </si>
  <si>
    <t>Diff</t>
  </si>
  <si>
    <t>sumxsq</t>
  </si>
  <si>
    <t>var</t>
  </si>
  <si>
    <t>a</t>
  </si>
  <si>
    <t>X2-X1</t>
  </si>
  <si>
    <t>b</t>
  </si>
  <si>
    <t>c</t>
  </si>
  <si>
    <t>Mean of X2-X1</t>
  </si>
  <si>
    <t>d</t>
  </si>
  <si>
    <t>a,b,d</t>
  </si>
  <si>
    <t>h</t>
  </si>
  <si>
    <t>est SigmaSqM</t>
  </si>
  <si>
    <t>est SigmaM</t>
  </si>
  <si>
    <t>%conf</t>
  </si>
  <si>
    <t>crit t</t>
  </si>
  <si>
    <t>CI</t>
  </si>
  <si>
    <t>e</t>
  </si>
  <si>
    <t>Sigma Store</t>
  </si>
  <si>
    <t>Store</t>
  </si>
  <si>
    <t>MRk</t>
  </si>
  <si>
    <t>MCj</t>
  </si>
  <si>
    <t>TRk</t>
  </si>
  <si>
    <t>SumSqs</t>
  </si>
  <si>
    <t>SumTjk</t>
  </si>
  <si>
    <t>SumTCj</t>
  </si>
  <si>
    <t>SumTRk</t>
  </si>
  <si>
    <t>Cells</t>
  </si>
  <si>
    <t>Col</t>
  </si>
  <si>
    <t>CxR</t>
  </si>
  <si>
    <t>Real CI</t>
  </si>
  <si>
    <t>Within-Ss Ci</t>
  </si>
  <si>
    <t>Obt t</t>
  </si>
  <si>
    <t>alpha</t>
  </si>
  <si>
    <t>n</t>
  </si>
  <si>
    <t>df</t>
  </si>
  <si>
    <t>estSigmaSqM</t>
  </si>
  <si>
    <t>est SigmaSq</t>
  </si>
  <si>
    <t>SigmaSq</t>
  </si>
  <si>
    <t>2</t>
  </si>
  <si>
    <t>3</t>
  </si>
  <si>
    <t>T</t>
  </si>
  <si>
    <t>M</t>
  </si>
  <si>
    <t>est sigmasq</t>
  </si>
  <si>
    <t>estsigmasqM</t>
  </si>
  <si>
    <t>Sum Xsq</t>
  </si>
  <si>
    <t>est Sigma</t>
  </si>
  <si>
    <t>Summary Score</t>
  </si>
  <si>
    <t>estSigmaM2-M1</t>
  </si>
  <si>
    <t>f</t>
  </si>
  <si>
    <t>est SigmaM1</t>
  </si>
  <si>
    <t>4</t>
  </si>
  <si>
    <t>Crit t(1)2Q .01</t>
  </si>
  <si>
    <t>mu</t>
  </si>
  <si>
    <t>sigma</t>
  </si>
  <si>
    <t>Squared scored</t>
  </si>
  <si>
    <t>t</t>
  </si>
  <si>
    <t>CI (HOV)</t>
  </si>
  <si>
    <t>a,b</t>
  </si>
  <si>
    <t>est sigmaM</t>
  </si>
  <si>
    <t>Inter</t>
  </si>
  <si>
    <t>Cond</t>
  </si>
  <si>
    <t>Subj</t>
  </si>
  <si>
    <t>Tests of Subj and interaction would be required. See ANOVA table</t>
  </si>
  <si>
    <t>Intra-sub</t>
  </si>
  <si>
    <t>MX</t>
  </si>
  <si>
    <t>SDX</t>
  </si>
  <si>
    <t>MY</t>
  </si>
  <si>
    <t>rXY</t>
  </si>
  <si>
    <t>Var Y</t>
  </si>
  <si>
    <t>Var Y'</t>
  </si>
  <si>
    <t>zY</t>
  </si>
  <si>
    <t>zX</t>
  </si>
  <si>
    <t>VVAT (X)</t>
  </si>
  <si>
    <t>Income (Y)</t>
  </si>
  <si>
    <t>Var X</t>
  </si>
  <si>
    <t>Var X'</t>
  </si>
  <si>
    <t>Control</t>
  </si>
  <si>
    <t>French's</t>
  </si>
  <si>
    <t>Grey Poupon</t>
  </si>
  <si>
    <t>SSH1</t>
  </si>
  <si>
    <t>SSH2</t>
  </si>
  <si>
    <t>=T^2/N</t>
  </si>
  <si>
    <t xml:space="preserve">H1 e.g., </t>
  </si>
  <si>
    <t>e,f</t>
  </si>
  <si>
    <t>Crit t</t>
  </si>
  <si>
    <t>CI (no HOV)</t>
  </si>
  <si>
    <t>MS</t>
  </si>
  <si>
    <t>Obt F</t>
  </si>
  <si>
    <t>Crit F</t>
  </si>
  <si>
    <t>Between</t>
  </si>
  <si>
    <t>Within</t>
  </si>
  <si>
    <t>Totals</t>
  </si>
  <si>
    <t>Means</t>
  </si>
  <si>
    <t>N</t>
  </si>
  <si>
    <t>T^2/N</t>
  </si>
  <si>
    <t>SSB</t>
  </si>
  <si>
    <t>SSR</t>
  </si>
  <si>
    <t>SSW</t>
  </si>
  <si>
    <t>ANOVA</t>
  </si>
  <si>
    <t>Source</t>
  </si>
  <si>
    <t>Btwn</t>
  </si>
  <si>
    <t>R</t>
  </si>
  <si>
    <t>Goldens</t>
  </si>
  <si>
    <t>Minimize horizontal rather than vertical errors</t>
  </si>
  <si>
    <t>crit t(228)</t>
  </si>
  <si>
    <t>SumTj1^2</t>
  </si>
  <si>
    <t>SumTj2^2</t>
  </si>
  <si>
    <t>SumTj3^2</t>
  </si>
  <si>
    <t>J (no. stores)</t>
  </si>
  <si>
    <t>n (trials/store)</t>
  </si>
  <si>
    <t>DF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</si>
</sst>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0.0000000000000"/>
    <numFmt numFmtId="172" formatCode="#,##0.0"/>
    <numFmt numFmtId="173" formatCode="#,###.00"/>
    <numFmt numFmtId="174" formatCode="#,##0.000"/>
    <numFmt numFmtId="175" formatCode="#,##0.0000"/>
    <numFmt numFmtId="176" formatCode="#,##0.00000"/>
    <numFmt numFmtId="177" formatCode="m/d/yyyy"/>
    <numFmt numFmtId="178" formatCode="0.0000000"/>
    <numFmt numFmtId="179" formatCode="0.000000"/>
    <numFmt numFmtId="180" formatCode="0.00000"/>
    <numFmt numFmtId="181" formatCode="0.0000"/>
    <numFmt numFmtId="182" formatCode="0.0"/>
    <numFmt numFmtId="183" formatCode="#,###.##"/>
    <numFmt numFmtId="184" formatCode="#,###"/>
    <numFmt numFmtId="185" formatCode="#,###.0"/>
    <numFmt numFmtId="186" formatCode="#,###.000"/>
    <numFmt numFmtId="187" formatCode="0.00000000"/>
    <numFmt numFmtId="188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name val="Geneva"/>
      <family val="0"/>
    </font>
    <font>
      <u val="single"/>
      <sz val="10"/>
      <name val="Verdana"/>
      <family val="0"/>
    </font>
    <font>
      <sz val="11"/>
      <name val="Verdana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4.25"/>
      <color indexed="8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6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10" fillId="0" borderId="0">
      <alignment/>
      <protection/>
    </xf>
    <xf numFmtId="9" fontId="0" fillId="0" borderId="0" applyFont="0" applyFill="0" applyBorder="0" applyAlignment="0" applyProtection="0"/>
  </cellStyleXfs>
  <cellXfs count="318">
    <xf numFmtId="4" fontId="0" fillId="0" borderId="0" xfId="0" applyAlignment="1">
      <alignment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4" fontId="0" fillId="0" borderId="0" xfId="0" applyBorder="1" applyAlignment="1">
      <alignment/>
    </xf>
    <xf numFmtId="170" fontId="0" fillId="0" borderId="2" xfId="0" applyNumberFormat="1" applyBorder="1" applyAlignment="1">
      <alignment/>
    </xf>
    <xf numFmtId="4" fontId="0" fillId="0" borderId="3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4" fontId="0" fillId="0" borderId="7" xfId="0" applyBorder="1" applyAlignment="1">
      <alignment horizontal="right"/>
    </xf>
    <xf numFmtId="4" fontId="0" fillId="0" borderId="8" xfId="0" applyBorder="1" applyAlignment="1">
      <alignment horizontal="right"/>
    </xf>
    <xf numFmtId="4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4" fontId="0" fillId="0" borderId="0" xfId="0" applyFill="1" applyBorder="1" applyAlignment="1">
      <alignment horizontal="right"/>
    </xf>
    <xf numFmtId="4" fontId="0" fillId="0" borderId="5" xfId="0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" fontId="0" fillId="0" borderId="0" xfId="0" applyBorder="1" applyAlignment="1">
      <alignment horizontal="center"/>
    </xf>
    <xf numFmtId="4" fontId="7" fillId="0" borderId="0" xfId="0" applyFont="1" applyBorder="1" applyAlignment="1" quotePrefix="1">
      <alignment horizontal="left"/>
    </xf>
    <xf numFmtId="4" fontId="7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Border="1" applyAlignment="1">
      <alignment horizontal="left"/>
    </xf>
    <xf numFmtId="4" fontId="0" fillId="0" borderId="9" xfId="0" applyBorder="1" applyAlignment="1">
      <alignment/>
    </xf>
    <xf numFmtId="4" fontId="0" fillId="0" borderId="2" xfId="0" applyBorder="1" applyAlignment="1">
      <alignment/>
    </xf>
    <xf numFmtId="4" fontId="0" fillId="0" borderId="10" xfId="0" applyBorder="1" applyAlignment="1">
      <alignment/>
    </xf>
    <xf numFmtId="4" fontId="0" fillId="0" borderId="11" xfId="0" applyBorder="1" applyAlignment="1">
      <alignment horizontal="left"/>
    </xf>
    <xf numFmtId="4" fontId="0" fillId="0" borderId="11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0" fillId="0" borderId="9" xfId="0" applyBorder="1" applyAlignment="1">
      <alignment horizontal="right"/>
    </xf>
    <xf numFmtId="4" fontId="0" fillId="0" borderId="7" xfId="0" applyBorder="1" applyAlignment="1">
      <alignment/>
    </xf>
    <xf numFmtId="3" fontId="0" fillId="0" borderId="11" xfId="0" applyNumberFormat="1" applyBorder="1" applyAlignment="1">
      <alignment horizontal="left"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4" fontId="0" fillId="0" borderId="0" xfId="0" applyAlignment="1" quotePrefix="1">
      <alignment horizontal="left"/>
    </xf>
    <xf numFmtId="174" fontId="0" fillId="0" borderId="4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6" xfId="0" applyBorder="1" applyAlignment="1">
      <alignment/>
    </xf>
    <xf numFmtId="3" fontId="0" fillId="0" borderId="0" xfId="0" applyNumberFormat="1" applyBorder="1" applyAlignment="1">
      <alignment horizontal="left"/>
    </xf>
    <xf numFmtId="174" fontId="0" fillId="0" borderId="10" xfId="0" applyNumberFormat="1" applyBorder="1" applyAlignment="1">
      <alignment/>
    </xf>
    <xf numFmtId="4" fontId="0" fillId="0" borderId="8" xfId="0" applyBorder="1" applyAlignment="1">
      <alignment/>
    </xf>
    <xf numFmtId="174" fontId="0" fillId="0" borderId="0" xfId="0" applyNumberFormat="1" applyBorder="1" applyAlignment="1">
      <alignment horizontal="center"/>
    </xf>
    <xf numFmtId="4" fontId="0" fillId="0" borderId="0" xfId="0" applyBorder="1" applyAlignment="1" quotePrefix="1">
      <alignment horizontal="righ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left"/>
    </xf>
    <xf numFmtId="4" fontId="0" fillId="0" borderId="0" xfId="0" applyBorder="1" applyAlignment="1" quotePrefix="1">
      <alignment horizontal="lef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4" fontId="0" fillId="0" borderId="3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4" fontId="0" fillId="0" borderId="0" xfId="0" applyFont="1" applyBorder="1" applyAlignment="1">
      <alignment horizontal="right"/>
    </xf>
    <xf numFmtId="4" fontId="0" fillId="0" borderId="0" xfId="0" applyFont="1" applyBorder="1" applyAlignment="1">
      <alignment horizont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 horizontal="center"/>
    </xf>
    <xf numFmtId="4" fontId="0" fillId="0" borderId="0" xfId="0" applyFont="1" applyFill="1" applyBorder="1" applyAlignment="1">
      <alignment horizont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4" fontId="0" fillId="0" borderId="6" xfId="0" applyFont="1" applyBorder="1" applyAlignment="1">
      <alignment horizontal="right"/>
    </xf>
    <xf numFmtId="1" fontId="0" fillId="0" borderId="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" fontId="0" fillId="0" borderId="7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0" fillId="0" borderId="8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4" fontId="0" fillId="0" borderId="9" xfId="0" applyFont="1" applyBorder="1" applyAlignment="1">
      <alignment horizontal="center"/>
    </xf>
    <xf numFmtId="4" fontId="0" fillId="0" borderId="9" xfId="0" applyFont="1" applyBorder="1" applyAlignment="1">
      <alignment/>
    </xf>
    <xf numFmtId="4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7" xfId="0" applyNumberFormat="1" applyFont="1" applyBorder="1" applyAlignment="1" quotePrefix="1">
      <alignment horizontal="right"/>
    </xf>
    <xf numFmtId="4" fontId="0" fillId="0" borderId="0" xfId="0" applyFont="1" applyBorder="1" applyAlignment="1">
      <alignment horizontal="left"/>
    </xf>
    <xf numFmtId="4" fontId="0" fillId="0" borderId="10" xfId="0" applyFont="1" applyBorder="1" applyAlignment="1">
      <alignment/>
    </xf>
    <xf numFmtId="170" fontId="0" fillId="0" borderId="8" xfId="0" applyNumberFormat="1" applyFont="1" applyBorder="1" applyAlignment="1" quotePrefix="1">
      <alignment horizontal="right"/>
    </xf>
    <xf numFmtId="4" fontId="0" fillId="0" borderId="11" xfId="0" applyFont="1" applyBorder="1" applyAlignment="1">
      <alignment horizontal="left"/>
    </xf>
    <xf numFmtId="4" fontId="0" fillId="0" borderId="11" xfId="0" applyFont="1" applyBorder="1" applyAlignment="1">
      <alignment/>
    </xf>
    <xf numFmtId="4" fontId="0" fillId="0" borderId="3" xfId="0" applyFont="1" applyBorder="1" applyAlignment="1">
      <alignment/>
    </xf>
    <xf numFmtId="174" fontId="0" fillId="0" borderId="0" xfId="0" applyNumberFormat="1" applyFont="1" applyBorder="1" applyAlignment="1">
      <alignment/>
    </xf>
    <xf numFmtId="4" fontId="7" fillId="0" borderId="0" xfId="0" applyFont="1" applyBorder="1" applyAlignment="1" quotePrefix="1">
      <alignment horizontal="right"/>
    </xf>
    <xf numFmtId="4" fontId="10" fillId="0" borderId="0" xfId="0" applyFont="1" applyBorder="1" applyAlignment="1">
      <alignment/>
    </xf>
    <xf numFmtId="4" fontId="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4" fontId="7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4" fontId="10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4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Font="1" applyBorder="1" applyAlignment="1">
      <alignment horizontal="center"/>
    </xf>
    <xf numFmtId="4" fontId="10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4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10" fillId="0" borderId="0" xfId="0" applyFont="1" applyFill="1" applyBorder="1" applyAlignment="1">
      <alignment horizontal="right"/>
    </xf>
    <xf numFmtId="4" fontId="8" fillId="0" borderId="0" xfId="0" applyFont="1" applyFill="1" applyBorder="1" applyAlignment="1">
      <alignment horizontal="center"/>
    </xf>
    <xf numFmtId="4" fontId="8" fillId="0" borderId="0" xfId="0" applyFont="1" applyBorder="1" applyAlignment="1">
      <alignment horizontal="center"/>
    </xf>
    <xf numFmtId="174" fontId="10" fillId="0" borderId="0" xfId="0" applyNumberFormat="1" applyFont="1" applyBorder="1" applyAlignment="1">
      <alignment/>
    </xf>
    <xf numFmtId="4" fontId="10" fillId="0" borderId="5" xfId="0" applyFont="1" applyBorder="1" applyAlignment="1">
      <alignment horizontal="right"/>
    </xf>
    <xf numFmtId="4" fontId="0" fillId="0" borderId="0" xfId="0" applyFont="1" applyBorder="1" applyAlignment="1" quotePrefix="1">
      <alignment horizontal="lef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" fontId="0" fillId="0" borderId="0" xfId="0" applyFont="1" applyFill="1" applyBorder="1" applyAlignment="1">
      <alignment horizontal="right"/>
    </xf>
    <xf numFmtId="172" fontId="10" fillId="0" borderId="0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4" fontId="10" fillId="0" borderId="5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10" fillId="0" borderId="1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" fontId="7" fillId="0" borderId="6" xfId="0" applyFont="1" applyBorder="1" applyAlignment="1">
      <alignment horizontal="right"/>
    </xf>
    <xf numFmtId="4" fontId="0" fillId="0" borderId="2" xfId="0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4" fontId="0" fillId="0" borderId="9" xfId="0" applyFont="1" applyBorder="1" applyAlignment="1">
      <alignment horizontal="right"/>
    </xf>
    <xf numFmtId="174" fontId="0" fillId="0" borderId="9" xfId="0" applyNumberFormat="1" applyFont="1" applyBorder="1" applyAlignment="1">
      <alignment/>
    </xf>
    <xf numFmtId="170" fontId="0" fillId="0" borderId="9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4" fontId="0" fillId="0" borderId="11" xfId="0" applyFont="1" applyBorder="1" applyAlignment="1">
      <alignment horizontal="right"/>
    </xf>
    <xf numFmtId="174" fontId="0" fillId="0" borderId="11" xfId="0" applyNumberFormat="1" applyFont="1" applyBorder="1" applyAlignment="1">
      <alignment/>
    </xf>
    <xf numFmtId="4" fontId="0" fillId="0" borderId="0" xfId="0" applyFont="1" applyBorder="1" applyAlignment="1" quotePrefix="1">
      <alignment horizontal="right"/>
    </xf>
    <xf numFmtId="4" fontId="10" fillId="0" borderId="6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4" fontId="1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4" fontId="0" fillId="0" borderId="9" xfId="0" applyFont="1" applyBorder="1" applyAlignment="1">
      <alignment/>
    </xf>
    <xf numFmtId="4" fontId="0" fillId="0" borderId="2" xfId="0" applyFont="1" applyBorder="1" applyAlignment="1">
      <alignment/>
    </xf>
    <xf numFmtId="4" fontId="10" fillId="0" borderId="7" xfId="0" applyFont="1" applyBorder="1" applyAlignment="1">
      <alignment horizontal="right"/>
    </xf>
    <xf numFmtId="4" fontId="0" fillId="0" borderId="10" xfId="0" applyFont="1" applyBorder="1" applyAlignment="1">
      <alignment/>
    </xf>
    <xf numFmtId="170" fontId="10" fillId="0" borderId="7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1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10" fillId="0" borderId="3" xfId="0" applyFont="1" applyBorder="1" applyAlignment="1">
      <alignment/>
    </xf>
    <xf numFmtId="4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6" xfId="0" applyFill="1" applyBorder="1" applyAlignment="1">
      <alignment/>
    </xf>
    <xf numFmtId="174" fontId="0" fillId="0" borderId="8" xfId="0" applyNumberFormat="1" applyBorder="1" applyAlignment="1">
      <alignment/>
    </xf>
    <xf numFmtId="2" fontId="10" fillId="0" borderId="0" xfId="0" applyNumberFormat="1" applyFont="1" applyBorder="1" applyAlignment="1">
      <alignment horizontal="right"/>
    </xf>
    <xf numFmtId="4" fontId="0" fillId="0" borderId="0" xfId="0" applyAlignment="1" quotePrefix="1">
      <alignment/>
    </xf>
    <xf numFmtId="4" fontId="8" fillId="0" borderId="0" xfId="0" applyFont="1" applyAlignment="1">
      <alignment horizontal="center"/>
    </xf>
    <xf numFmtId="4" fontId="8" fillId="0" borderId="13" xfId="0" applyFont="1" applyBorder="1" applyAlignment="1">
      <alignment horizontal="center"/>
    </xf>
    <xf numFmtId="4" fontId="8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Fill="1" applyBorder="1" applyAlignment="1">
      <alignment/>
    </xf>
    <xf numFmtId="4" fontId="0" fillId="0" borderId="18" xfId="0" applyBorder="1" applyAlignment="1">
      <alignment/>
    </xf>
    <xf numFmtId="4" fontId="0" fillId="0" borderId="18" xfId="0" applyBorder="1" applyAlignment="1">
      <alignment horizontal="right"/>
    </xf>
    <xf numFmtId="4" fontId="0" fillId="0" borderId="18" xfId="0" applyFill="1" applyBorder="1" applyAlignment="1">
      <alignment horizontal="right"/>
    </xf>
    <xf numFmtId="4" fontId="0" fillId="0" borderId="19" xfId="0" applyFill="1" applyBorder="1" applyAlignment="1">
      <alignment horizontal="right"/>
    </xf>
    <xf numFmtId="4" fontId="0" fillId="0" borderId="7" xfId="0" applyFill="1" applyBorder="1" applyAlignment="1">
      <alignment/>
    </xf>
    <xf numFmtId="4" fontId="0" fillId="0" borderId="7" xfId="0" applyFill="1" applyBorder="1" applyAlignment="1">
      <alignment horizontal="right"/>
    </xf>
    <xf numFmtId="4" fontId="0" fillId="0" borderId="8" xfId="0" applyFill="1" applyBorder="1" applyAlignment="1">
      <alignment horizontal="right"/>
    </xf>
    <xf numFmtId="3" fontId="0" fillId="0" borderId="11" xfId="0" applyNumberFormat="1" applyBorder="1" applyAlignment="1">
      <alignment/>
    </xf>
    <xf numFmtId="4" fontId="0" fillId="0" borderId="2" xfId="0" applyFill="1" applyBorder="1" applyAlignment="1">
      <alignment horizontal="right"/>
    </xf>
    <xf numFmtId="174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9" xfId="0" applyFill="1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4" fontId="7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4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14" xfId="0" applyFont="1" applyBorder="1" applyAlignment="1">
      <alignment/>
    </xf>
    <xf numFmtId="4" fontId="1" fillId="0" borderId="0" xfId="0" applyFont="1" applyBorder="1" applyAlignment="1" quotePrefix="1">
      <alignment/>
    </xf>
    <xf numFmtId="4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14" xfId="0" applyFont="1" applyBorder="1" applyAlignment="1">
      <alignment horizontal="right"/>
    </xf>
    <xf numFmtId="4" fontId="0" fillId="0" borderId="0" xfId="0" applyFont="1" applyBorder="1" applyAlignment="1" quotePrefix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74" fontId="0" fillId="0" borderId="9" xfId="0" applyNumberFormat="1" applyFont="1" applyBorder="1" applyAlignment="1">
      <alignment/>
    </xf>
    <xf numFmtId="4" fontId="0" fillId="0" borderId="9" xfId="0" applyFont="1" applyBorder="1" applyAlignment="1">
      <alignment/>
    </xf>
    <xf numFmtId="4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4" fontId="0" fillId="0" borderId="3" xfId="0" applyFont="1" applyBorder="1" applyAlignment="1">
      <alignment/>
    </xf>
    <xf numFmtId="4" fontId="0" fillId="0" borderId="20" xfId="0" applyFon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4" fontId="0" fillId="0" borderId="5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6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3" fontId="0" fillId="0" borderId="11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/>
    </xf>
    <xf numFmtId="4" fontId="0" fillId="0" borderId="6" xfId="0" applyFont="1" applyBorder="1" applyAlignment="1">
      <alignment horizontal="right"/>
    </xf>
    <xf numFmtId="4" fontId="0" fillId="0" borderId="8" xfId="0" applyFont="1" applyBorder="1" applyAlignment="1">
      <alignment horizontal="right"/>
    </xf>
    <xf numFmtId="4" fontId="0" fillId="0" borderId="5" xfId="0" applyFont="1" applyBorder="1" applyAlignment="1">
      <alignment horizontal="right"/>
    </xf>
    <xf numFmtId="4" fontId="0" fillId="0" borderId="1" xfId="0" applyFont="1" applyBorder="1" applyAlignment="1">
      <alignment horizontal="right"/>
    </xf>
    <xf numFmtId="170" fontId="0" fillId="0" borderId="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9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/>
    </xf>
    <xf numFmtId="174" fontId="0" fillId="0" borderId="5" xfId="0" applyNumberFormat="1" applyFont="1" applyFill="1" applyBorder="1" applyAlignment="1">
      <alignment horizontal="right"/>
    </xf>
    <xf numFmtId="4" fontId="0" fillId="0" borderId="14" xfId="0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left"/>
    </xf>
    <xf numFmtId="4" fontId="0" fillId="0" borderId="9" xfId="0" applyFont="1" applyBorder="1" applyAlignment="1">
      <alignment horizontal="right"/>
    </xf>
    <xf numFmtId="4" fontId="0" fillId="0" borderId="2" xfId="0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21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174" fontId="0" fillId="0" borderId="2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/>
    </xf>
    <xf numFmtId="170" fontId="0" fillId="0" borderId="0" xfId="0" applyNumberFormat="1" applyBorder="1" applyAlignment="1">
      <alignment horizontal="right"/>
    </xf>
  </cellXfs>
  <cellStyles count="12">
    <cellStyle name="Normal" xfId="0"/>
    <cellStyle name="Comma" xfId="15"/>
    <cellStyle name="Comma [0]" xfId="16"/>
    <cellStyle name="Comma_ExamAnswers06 .xls Chart 1" xfId="17"/>
    <cellStyle name="Currency" xfId="18"/>
    <cellStyle name="Currency [0]" xfId="19"/>
    <cellStyle name="Followed Hyperlink" xfId="20"/>
    <cellStyle name="Followed Hyperlink_ExamAnswers06 .xls Chart 1" xfId="21"/>
    <cellStyle name="Hyperlink" xfId="22"/>
    <cellStyle name="Hyperlink_ExamAnswers06 .xls Chart 1" xfId="23"/>
    <cellStyle name="Normal_ExamAnswers06 .xls Chart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"/>
          <c:w val="0.99975"/>
          <c:h val="0.9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'[1]Final'!$A$33:$A$42</c:f>
              <c:numCache>
                <c:ptCount val="10"/>
                <c:pt idx="0">
                  <c:v>17</c:v>
                </c:pt>
                <c:pt idx="1">
                  <c:v>19</c:v>
                </c:pt>
                <c:pt idx="2">
                  <c:v>24</c:v>
                </c:pt>
                <c:pt idx="3">
                  <c:v>26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</c:numCache>
            </c:numRef>
          </c:xVal>
          <c:yVal>
            <c:numRef>
              <c:f>'[1]Final'!$B$33:$B$42</c:f>
              <c:numCache>
                <c:ptCount val="10"/>
                <c:pt idx="0">
                  <c:v>62</c:v>
                </c:pt>
                <c:pt idx="1">
                  <c:v>61</c:v>
                </c:pt>
                <c:pt idx="2">
                  <c:v>76</c:v>
                </c:pt>
                <c:pt idx="3">
                  <c:v>81</c:v>
                </c:pt>
                <c:pt idx="4">
                  <c:v>54</c:v>
                </c:pt>
                <c:pt idx="5">
                  <c:v>55</c:v>
                </c:pt>
                <c:pt idx="6">
                  <c:v>70</c:v>
                </c:pt>
                <c:pt idx="7">
                  <c:v>59</c:v>
                </c:pt>
                <c:pt idx="8">
                  <c:v>60</c:v>
                </c:pt>
                <c:pt idx="9">
                  <c:v>44</c:v>
                </c:pt>
              </c:numCache>
            </c:numRef>
          </c:yVal>
          <c:smooth val="0"/>
        </c:ser>
        <c:axId val="2532529"/>
        <c:axId val="22792762"/>
      </c:scatterChart>
      <c:val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 val="autoZero"/>
        <c:crossBetween val="midCat"/>
        <c:dispUnits/>
      </c:valAx>
      <c:valAx>
        <c:axId val="22792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31</xdr:row>
      <xdr:rowOff>0</xdr:rowOff>
    </xdr:from>
    <xdr:to>
      <xdr:col>17</xdr:col>
      <xdr:colOff>180975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1934825" y="5114925"/>
        <a:ext cx="22860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%20Folders\UW-Department\P217-218\old%20P218\Psych%20318-2004\Exam%20answ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 1"/>
      <sheetName val="Exam 2"/>
      <sheetName val="Exam 3"/>
      <sheetName val="Exam 4"/>
      <sheetName val="Final"/>
      <sheetName val="ChiSq"/>
      <sheetName val="Sheet6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33">
          <cell r="A33">
            <v>17</v>
          </cell>
          <cell r="B33">
            <v>62</v>
          </cell>
        </row>
        <row r="34">
          <cell r="A34">
            <v>19</v>
          </cell>
          <cell r="B34">
            <v>61</v>
          </cell>
        </row>
        <row r="35">
          <cell r="A35">
            <v>24</v>
          </cell>
          <cell r="B35">
            <v>76</v>
          </cell>
        </row>
        <row r="36">
          <cell r="A36">
            <v>26</v>
          </cell>
          <cell r="B36">
            <v>81</v>
          </cell>
        </row>
        <row r="37">
          <cell r="A37">
            <v>18</v>
          </cell>
          <cell r="B37">
            <v>54</v>
          </cell>
        </row>
        <row r="38">
          <cell r="A38">
            <v>18</v>
          </cell>
          <cell r="B38">
            <v>55</v>
          </cell>
        </row>
        <row r="39">
          <cell r="A39">
            <v>17</v>
          </cell>
          <cell r="B39">
            <v>70</v>
          </cell>
        </row>
        <row r="40">
          <cell r="A40">
            <v>21</v>
          </cell>
          <cell r="B40">
            <v>59</v>
          </cell>
        </row>
        <row r="41">
          <cell r="A41">
            <v>24</v>
          </cell>
          <cell r="B41">
            <v>60</v>
          </cell>
        </row>
        <row r="42">
          <cell r="A42">
            <v>20</v>
          </cell>
          <cell r="B4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5">
      <selection activeCell="C99" sqref="C99"/>
    </sheetView>
  </sheetViews>
  <sheetFormatPr defaultColWidth="11.00390625" defaultRowHeight="12.75"/>
  <cols>
    <col min="1" max="1" width="3.875" style="2" customWidth="1"/>
    <col min="2" max="2" width="16.125" style="0" customWidth="1"/>
    <col min="3" max="3" width="11.125" style="0" bestFit="1" customWidth="1"/>
    <col min="4" max="4" width="10.875" style="3" bestFit="1" customWidth="1"/>
  </cols>
  <sheetData>
    <row r="1" spans="1:10" ht="12.75">
      <c r="A1" s="1" t="s">
        <v>116</v>
      </c>
      <c r="H1" t="s">
        <v>37</v>
      </c>
      <c r="I1" t="s">
        <v>37</v>
      </c>
      <c r="J1" t="s">
        <v>122</v>
      </c>
    </row>
    <row r="2" spans="1:10" ht="12.75">
      <c r="A2" s="1"/>
      <c r="B2" s="3"/>
      <c r="C2" s="3"/>
      <c r="H2">
        <v>5</v>
      </c>
      <c r="I2">
        <v>10</v>
      </c>
      <c r="J2">
        <v>2</v>
      </c>
    </row>
    <row r="3" spans="1:4" ht="12.75">
      <c r="A3" s="1"/>
      <c r="B3" s="3" t="s">
        <v>35</v>
      </c>
      <c r="C3" s="3" t="s">
        <v>36</v>
      </c>
      <c r="D3" s="3" t="s">
        <v>120</v>
      </c>
    </row>
    <row r="4" spans="2:9" ht="12.75">
      <c r="B4" s="4">
        <v>6</v>
      </c>
      <c r="C4" s="4">
        <v>10</v>
      </c>
      <c r="D4" s="4">
        <f>C4-B4</f>
        <v>4</v>
      </c>
      <c r="H4" s="5">
        <f ca="1">ROUND(H$2+NORMSINV(RAND())*$J$2,0)</f>
        <v>4</v>
      </c>
      <c r="I4" s="5">
        <f aca="true" ca="1" t="shared" si="0" ref="I4:I10">ROUND(I$2+NORMSINV(RAND())*$J$2,0)</f>
        <v>7</v>
      </c>
    </row>
    <row r="5" spans="2:9" ht="12.75">
      <c r="B5" s="4">
        <v>7</v>
      </c>
      <c r="C5" s="4">
        <v>10</v>
      </c>
      <c r="D5" s="4">
        <f aca="true" t="shared" si="1" ref="D5:D10">C5-B5</f>
        <v>3</v>
      </c>
      <c r="H5" s="5">
        <f aca="true" ca="1" t="shared" si="2" ref="H5:H10">ROUND(H$2+NORMSINV(RAND())*$J$2,0)</f>
        <v>3</v>
      </c>
      <c r="I5" s="5">
        <f ca="1" t="shared" si="0"/>
        <v>12</v>
      </c>
    </row>
    <row r="6" spans="2:9" ht="12.75">
      <c r="B6" s="4">
        <v>5</v>
      </c>
      <c r="C6" s="4">
        <v>8</v>
      </c>
      <c r="D6" s="4">
        <f t="shared" si="1"/>
        <v>3</v>
      </c>
      <c r="H6" s="5">
        <f ca="1" t="shared" si="2"/>
        <v>3</v>
      </c>
      <c r="I6" s="5">
        <f ca="1" t="shared" si="0"/>
        <v>8</v>
      </c>
    </row>
    <row r="7" spans="2:9" ht="12.75">
      <c r="B7" s="4">
        <v>6</v>
      </c>
      <c r="C7" s="4">
        <v>9</v>
      </c>
      <c r="D7" s="4">
        <f t="shared" si="1"/>
        <v>3</v>
      </c>
      <c r="H7" s="5">
        <f ca="1" t="shared" si="2"/>
        <v>3</v>
      </c>
      <c r="I7" s="5">
        <f ca="1" t="shared" si="0"/>
        <v>9</v>
      </c>
    </row>
    <row r="8" spans="2:9" ht="12.75">
      <c r="B8" s="4">
        <v>7</v>
      </c>
      <c r="C8" s="4">
        <v>11</v>
      </c>
      <c r="D8" s="4">
        <f t="shared" si="1"/>
        <v>4</v>
      </c>
      <c r="H8" s="5">
        <f ca="1" t="shared" si="2"/>
        <v>4</v>
      </c>
      <c r="I8" s="5">
        <f ca="1" t="shared" si="0"/>
        <v>5</v>
      </c>
    </row>
    <row r="9" spans="2:9" ht="12.75">
      <c r="B9" s="4">
        <v>5</v>
      </c>
      <c r="C9" s="4">
        <v>7</v>
      </c>
      <c r="D9" s="4">
        <f t="shared" si="1"/>
        <v>2</v>
      </c>
      <c r="H9" s="5">
        <f ca="1" t="shared" si="2"/>
        <v>3</v>
      </c>
      <c r="I9" s="5">
        <f ca="1" t="shared" si="0"/>
        <v>9</v>
      </c>
    </row>
    <row r="10" spans="2:9" ht="12.75">
      <c r="B10" s="4">
        <v>7</v>
      </c>
      <c r="C10" s="4">
        <v>13</v>
      </c>
      <c r="D10" s="4">
        <f t="shared" si="1"/>
        <v>6</v>
      </c>
      <c r="H10" s="5">
        <f ca="1" t="shared" si="2"/>
        <v>5</v>
      </c>
      <c r="I10" s="5">
        <f ca="1" t="shared" si="0"/>
        <v>9</v>
      </c>
    </row>
    <row r="11" spans="2:9" ht="12.75">
      <c r="B11" s="4"/>
      <c r="C11" s="4"/>
      <c r="D11" s="4"/>
      <c r="H11" s="5"/>
      <c r="I11" s="5"/>
    </row>
    <row r="12" spans="2:9" ht="12.75">
      <c r="B12" s="4">
        <f>SUM(B4:B10)</f>
        <v>43</v>
      </c>
      <c r="C12" s="4">
        <f>SUM(C4:C10)</f>
        <v>68</v>
      </c>
      <c r="D12" s="40">
        <f>SUM(D4:D10)</f>
        <v>25</v>
      </c>
      <c r="F12" t="s">
        <v>117</v>
      </c>
      <c r="H12" s="5"/>
      <c r="I12" s="5"/>
    </row>
    <row r="13" spans="1:6" ht="12.75">
      <c r="A13" s="1"/>
      <c r="B13" s="3"/>
      <c r="C13" s="3"/>
      <c r="D13" s="4">
        <f>COUNT(D4:D10)</f>
        <v>7</v>
      </c>
      <c r="F13" t="s">
        <v>153</v>
      </c>
    </row>
    <row r="14" spans="1:6" ht="12.75">
      <c r="A14" s="1"/>
      <c r="B14" s="3"/>
      <c r="C14" s="3"/>
      <c r="D14" s="4">
        <f>D13-1</f>
        <v>6</v>
      </c>
      <c r="F14" t="s">
        <v>154</v>
      </c>
    </row>
    <row r="15" spans="2:9" ht="12.75">
      <c r="B15" s="40">
        <f>AVERAGE(B4:B10)</f>
        <v>6.142857142857143</v>
      </c>
      <c r="C15" s="40">
        <f>AVERAGE(C4:C10)</f>
        <v>9.714285714285714</v>
      </c>
      <c r="D15" s="40">
        <f>AVERAGE(D4:D10)</f>
        <v>3.5714285714285716</v>
      </c>
      <c r="F15" t="s">
        <v>118</v>
      </c>
      <c r="H15" s="5"/>
      <c r="I15" s="5"/>
    </row>
    <row r="16" spans="2:6" ht="12.75">
      <c r="B16" s="4"/>
      <c r="C16" s="4"/>
      <c r="D16" s="40">
        <f>SUMSQ(D4:D10)</f>
        <v>99</v>
      </c>
      <c r="F16" t="s">
        <v>121</v>
      </c>
    </row>
    <row r="17" spans="2:6" ht="12.75">
      <c r="B17" s="5"/>
      <c r="C17" s="5"/>
      <c r="D17" s="40">
        <f>D16-D12^2/COUNT(D4:D10)</f>
        <v>9.714285714285708</v>
      </c>
      <c r="F17" t="s">
        <v>119</v>
      </c>
    </row>
    <row r="18" spans="2:6" ht="12.75">
      <c r="B18" s="5"/>
      <c r="C18" s="5"/>
      <c r="D18" s="6">
        <f>D17/(COUNT(D4:D10)-1)</f>
        <v>1.619047619047618</v>
      </c>
      <c r="F18" t="s">
        <v>122</v>
      </c>
    </row>
    <row r="19" spans="2:4" ht="13.5" thickBot="1">
      <c r="B19" s="2"/>
      <c r="D19" s="3">
        <f>VAR(D4:D10)</f>
        <v>1.619047619047618</v>
      </c>
    </row>
    <row r="20" spans="1:2" ht="13.5" thickBot="1">
      <c r="A20" s="2" t="s">
        <v>123</v>
      </c>
      <c r="B20" s="12" t="s">
        <v>124</v>
      </c>
    </row>
    <row r="21" ht="13.5" thickBot="1">
      <c r="B21" s="2"/>
    </row>
    <row r="22" spans="1:5" ht="13.5" thickBot="1">
      <c r="A22" s="2" t="s">
        <v>125</v>
      </c>
      <c r="B22" s="13" t="s">
        <v>122</v>
      </c>
      <c r="C22" s="8">
        <f>D18</f>
        <v>1.619047619047618</v>
      </c>
      <c r="E22">
        <f>VAR(D4:D10)</f>
        <v>1.619047619047618</v>
      </c>
    </row>
    <row r="23" ht="13.5" thickBot="1">
      <c r="B23" s="2"/>
    </row>
    <row r="24" spans="1:3" ht="13.5" thickBot="1">
      <c r="A24" s="2" t="s">
        <v>126</v>
      </c>
      <c r="B24" s="12" t="s">
        <v>127</v>
      </c>
      <c r="C24" s="9"/>
    </row>
    <row r="25" ht="12.75">
      <c r="B25" s="2"/>
    </row>
    <row r="26" spans="1:3" ht="12.75">
      <c r="A26" s="2" t="s">
        <v>128</v>
      </c>
      <c r="B26" s="2" t="s">
        <v>131</v>
      </c>
      <c r="C26" s="7">
        <f>(C22/D13)</f>
        <v>0.23129251700680256</v>
      </c>
    </row>
    <row r="27" spans="2:3" ht="12.75">
      <c r="B27" s="2" t="s">
        <v>132</v>
      </c>
      <c r="C27" s="7">
        <f>SQRT(C26)</f>
        <v>0.4809288065886702</v>
      </c>
    </row>
    <row r="28" spans="2:3" ht="12.75">
      <c r="B28" s="2" t="s">
        <v>133</v>
      </c>
      <c r="C28">
        <v>0.98</v>
      </c>
    </row>
    <row r="29" spans="2:3" ht="13.5" thickBot="1">
      <c r="B29" s="2" t="s">
        <v>134</v>
      </c>
      <c r="C29" s="7">
        <f>TINV(1-C28,D14)</f>
        <v>3.1426684031300516</v>
      </c>
    </row>
    <row r="30" spans="2:3" ht="13.5" thickBot="1">
      <c r="B30" s="13" t="s">
        <v>135</v>
      </c>
      <c r="C30" s="8">
        <f>C27*C29</f>
        <v>1.5113997646212576</v>
      </c>
    </row>
    <row r="31" ht="12.75">
      <c r="B31" s="2"/>
    </row>
    <row r="32" spans="1:3" ht="12.75">
      <c r="A32" s="2" t="s">
        <v>136</v>
      </c>
      <c r="B32" s="17"/>
      <c r="C32" s="9"/>
    </row>
    <row r="33" spans="2:3" ht="12.75">
      <c r="B33" s="17"/>
      <c r="C33" s="18"/>
    </row>
    <row r="34" spans="2:3" ht="12.75">
      <c r="B34" s="17"/>
      <c r="C34" s="18"/>
    </row>
    <row r="35" spans="2:3" ht="12.75">
      <c r="B35" s="17"/>
      <c r="C35" s="9"/>
    </row>
    <row r="36" ht="12.75">
      <c r="B36" s="2"/>
    </row>
    <row r="37" ht="12.75">
      <c r="B37" s="2"/>
    </row>
    <row r="38" ht="12.75">
      <c r="A38" s="1" t="s">
        <v>158</v>
      </c>
    </row>
    <row r="39" spans="1:3" ht="12.75">
      <c r="A39" s="2" t="s">
        <v>123</v>
      </c>
      <c r="B39" s="2" t="s">
        <v>153</v>
      </c>
      <c r="C39" s="5">
        <v>100</v>
      </c>
    </row>
    <row r="40" spans="2:3" ht="12.75">
      <c r="B40" s="2" t="s">
        <v>154</v>
      </c>
      <c r="C40" s="5">
        <f>C39-1</f>
        <v>99</v>
      </c>
    </row>
    <row r="41" spans="2:3" ht="12.75">
      <c r="B41" s="2" t="s">
        <v>133</v>
      </c>
      <c r="C41">
        <v>0.5</v>
      </c>
    </row>
    <row r="42" spans="2:3" ht="12.75">
      <c r="B42" s="2" t="s">
        <v>134</v>
      </c>
      <c r="C42" s="7">
        <f>TINV(1-C41,C40)</f>
        <v>0.6769759855977466</v>
      </c>
    </row>
    <row r="43" spans="2:3" ht="12.75">
      <c r="B43" s="2" t="s">
        <v>135</v>
      </c>
      <c r="C43">
        <v>10</v>
      </c>
    </row>
    <row r="44" spans="2:3" ht="12.75">
      <c r="B44" s="2" t="s">
        <v>132</v>
      </c>
      <c r="C44" s="7">
        <f>C43/C42</f>
        <v>14.771572718595538</v>
      </c>
    </row>
    <row r="45" spans="2:3" ht="12.75">
      <c r="B45" s="2" t="s">
        <v>155</v>
      </c>
      <c r="C45" s="5">
        <f>C44^2</f>
        <v>218.19936058075595</v>
      </c>
    </row>
    <row r="46" spans="2:3" ht="13.5" thickBot="1">
      <c r="B46" s="2" t="s">
        <v>156</v>
      </c>
      <c r="C46" s="5">
        <f>C45*C39</f>
        <v>21819.936058075597</v>
      </c>
    </row>
    <row r="47" spans="2:3" ht="13.5" thickBot="1">
      <c r="B47" s="13" t="s">
        <v>119</v>
      </c>
      <c r="C47" s="23">
        <f>C46*C40</f>
        <v>2160173.669749484</v>
      </c>
    </row>
    <row r="48" ht="12.75">
      <c r="B48" s="2"/>
    </row>
    <row r="49" ht="12.75" customHeight="1">
      <c r="B49" s="2"/>
    </row>
    <row r="50" spans="1:8" ht="12.75" customHeight="1">
      <c r="A50" s="1" t="s">
        <v>159</v>
      </c>
      <c r="B50" s="2"/>
      <c r="F50" s="2" t="s">
        <v>37</v>
      </c>
      <c r="G50" s="2" t="s">
        <v>37</v>
      </c>
      <c r="H50" s="2" t="s">
        <v>39</v>
      </c>
    </row>
    <row r="51" spans="2:8" ht="12.75" customHeight="1">
      <c r="B51" s="2"/>
      <c r="F51">
        <v>130</v>
      </c>
      <c r="G51">
        <v>110</v>
      </c>
      <c r="H51">
        <v>10</v>
      </c>
    </row>
    <row r="52" spans="2:4" ht="12.75">
      <c r="B52" s="2"/>
      <c r="C52" s="2" t="s">
        <v>222</v>
      </c>
      <c r="D52" s="2" t="s">
        <v>38</v>
      </c>
    </row>
    <row r="53" spans="2:7" ht="12.75">
      <c r="B53" s="2"/>
      <c r="C53" s="5">
        <v>131</v>
      </c>
      <c r="D53" s="5">
        <v>98</v>
      </c>
      <c r="F53" s="5">
        <f ca="1">ROUND(F$51+NORMSINV(RAND())*$H$51,0)</f>
        <v>130</v>
      </c>
      <c r="G53" s="5">
        <f aca="true" ca="1" t="shared" si="3" ref="G53:G62">ROUND(G$51+NORMSINV(RAND())*$H$51,0)</f>
        <v>106</v>
      </c>
    </row>
    <row r="54" spans="2:7" ht="12.75">
      <c r="B54" s="2"/>
      <c r="C54" s="5">
        <v>122</v>
      </c>
      <c r="D54" s="5"/>
      <c r="F54" s="5">
        <f aca="true" ca="1" t="shared" si="4" ref="F54:F62">ROUND(F$51+NORMSINV(RAND())*$H$51,0)</f>
        <v>125</v>
      </c>
      <c r="G54" s="5">
        <f ca="1" t="shared" si="3"/>
        <v>110</v>
      </c>
    </row>
    <row r="55" spans="2:7" ht="12.75">
      <c r="B55" s="2"/>
      <c r="C55" s="5">
        <v>138</v>
      </c>
      <c r="D55" s="5"/>
      <c r="F55" s="5">
        <f ca="1" t="shared" si="4"/>
        <v>124</v>
      </c>
      <c r="G55" s="5">
        <f ca="1" t="shared" si="3"/>
        <v>98</v>
      </c>
    </row>
    <row r="56" spans="2:7" ht="12.75">
      <c r="B56" s="2"/>
      <c r="C56" s="5">
        <v>132</v>
      </c>
      <c r="D56" s="5"/>
      <c r="F56" s="5">
        <f ca="1" t="shared" si="4"/>
        <v>143</v>
      </c>
      <c r="G56" s="5">
        <f ca="1" t="shared" si="3"/>
        <v>123</v>
      </c>
    </row>
    <row r="57" spans="2:7" ht="12.75">
      <c r="B57" s="2"/>
      <c r="C57" s="5">
        <v>133</v>
      </c>
      <c r="D57" s="5"/>
      <c r="F57" s="5">
        <f ca="1" t="shared" si="4"/>
        <v>136</v>
      </c>
      <c r="G57" s="5">
        <f ca="1" t="shared" si="3"/>
        <v>123</v>
      </c>
    </row>
    <row r="58" spans="2:7" ht="12.75">
      <c r="B58" s="2"/>
      <c r="C58" s="5">
        <v>131</v>
      </c>
      <c r="D58" s="5"/>
      <c r="F58" s="5">
        <f ca="1" t="shared" si="4"/>
        <v>130</v>
      </c>
      <c r="G58" s="5">
        <f ca="1" t="shared" si="3"/>
        <v>95</v>
      </c>
    </row>
    <row r="59" spans="2:7" ht="12.75">
      <c r="B59" s="2"/>
      <c r="C59" s="5">
        <v>135</v>
      </c>
      <c r="D59" s="5"/>
      <c r="F59" s="5">
        <f ca="1" t="shared" si="4"/>
        <v>127</v>
      </c>
      <c r="G59" s="5">
        <f ca="1" t="shared" si="3"/>
        <v>110</v>
      </c>
    </row>
    <row r="60" spans="2:7" ht="12.75">
      <c r="B60" s="2"/>
      <c r="C60" s="5">
        <v>127</v>
      </c>
      <c r="D60" s="5"/>
      <c r="F60" s="5">
        <f ca="1" t="shared" si="4"/>
        <v>127</v>
      </c>
      <c r="G60" s="5">
        <f ca="1" t="shared" si="3"/>
        <v>90</v>
      </c>
    </row>
    <row r="61" spans="2:7" ht="12.75">
      <c r="B61" s="2"/>
      <c r="C61" s="5">
        <v>128</v>
      </c>
      <c r="D61" s="5"/>
      <c r="F61" s="5">
        <f ca="1" t="shared" si="4"/>
        <v>129</v>
      </c>
      <c r="G61" s="5">
        <f ca="1" t="shared" si="3"/>
        <v>99</v>
      </c>
    </row>
    <row r="62" spans="2:7" ht="12.75">
      <c r="B62" s="2"/>
      <c r="C62" s="5">
        <v>128</v>
      </c>
      <c r="D62" s="5"/>
      <c r="F62" s="5">
        <f ca="1" t="shared" si="4"/>
        <v>107</v>
      </c>
      <c r="G62" s="5">
        <f ca="1" t="shared" si="3"/>
        <v>123</v>
      </c>
    </row>
    <row r="63" spans="2:4" ht="13.5" thickBot="1">
      <c r="B63" s="2"/>
      <c r="D63"/>
    </row>
    <row r="64" spans="1:8" ht="12.75">
      <c r="A64" s="2" t="s">
        <v>123</v>
      </c>
      <c r="B64" s="14" t="s">
        <v>153</v>
      </c>
      <c r="C64" s="24">
        <f>COUNT(C53:C62)</f>
        <v>10</v>
      </c>
      <c r="D64" s="24">
        <f>COUNT(D53:D62)</f>
        <v>1</v>
      </c>
      <c r="G64" s="69"/>
      <c r="H64" s="5"/>
    </row>
    <row r="65" spans="2:8" ht="12.75">
      <c r="B65" s="15" t="s">
        <v>154</v>
      </c>
      <c r="C65" s="25">
        <f>C64-1</f>
        <v>9</v>
      </c>
      <c r="D65" s="26">
        <f>D64-1</f>
        <v>0</v>
      </c>
      <c r="G65" s="5"/>
      <c r="H65" s="5"/>
    </row>
    <row r="66" spans="2:9" ht="12.75">
      <c r="B66" s="15" t="s">
        <v>160</v>
      </c>
      <c r="C66" s="25">
        <f>SUM(C53:C62)</f>
        <v>1305</v>
      </c>
      <c r="D66" s="26">
        <f>SUM(D53:D62)</f>
        <v>98</v>
      </c>
      <c r="I66" s="5"/>
    </row>
    <row r="67" spans="2:4" ht="12.75">
      <c r="B67" s="15" t="s">
        <v>161</v>
      </c>
      <c r="C67" s="61">
        <f>AVERAGE(C53:C62)</f>
        <v>130.5</v>
      </c>
      <c r="D67" s="67">
        <f>AVERAGE(D53:D62)</f>
        <v>98</v>
      </c>
    </row>
    <row r="68" spans="2:4" ht="12.75">
      <c r="B68" s="15" t="s">
        <v>164</v>
      </c>
      <c r="C68" s="61">
        <f>SUMSQ(C53:C62)</f>
        <v>170485</v>
      </c>
      <c r="D68" s="67">
        <f>SUMSQ(D53:D62)</f>
        <v>9604</v>
      </c>
    </row>
    <row r="69" spans="2:4" ht="12.75">
      <c r="B69" s="15" t="s">
        <v>119</v>
      </c>
      <c r="C69" s="61">
        <f>C68-C66^2/C64</f>
        <v>182.5</v>
      </c>
      <c r="D69" s="67">
        <f>D68-D66^2/D64</f>
        <v>0</v>
      </c>
    </row>
    <row r="70" spans="2:7" ht="13.5" thickBot="1">
      <c r="B70" s="16" t="s">
        <v>156</v>
      </c>
      <c r="C70" s="66">
        <f>C69/C65</f>
        <v>20.27777777777778</v>
      </c>
      <c r="D70" s="68" t="e">
        <f>D69/D65</f>
        <v>#DIV/0!</v>
      </c>
      <c r="G70" s="41"/>
    </row>
    <row r="71" ht="13.5" thickBot="1"/>
    <row r="72" spans="1:3" ht="12.75">
      <c r="A72" s="2" t="s">
        <v>125</v>
      </c>
      <c r="B72" s="14" t="s">
        <v>156</v>
      </c>
      <c r="C72" s="10">
        <f>(C69+D69)/(C65+D65)</f>
        <v>20.27777777777778</v>
      </c>
    </row>
    <row r="73" spans="2:3" ht="13.5" thickBot="1">
      <c r="B73" s="16" t="s">
        <v>165</v>
      </c>
      <c r="C73" s="20">
        <f>SQRT(C72)</f>
        <v>4.503085362035432</v>
      </c>
    </row>
    <row r="75" spans="1:3" ht="12.75">
      <c r="A75" s="2" t="s">
        <v>126</v>
      </c>
      <c r="B75" s="2" t="s">
        <v>166</v>
      </c>
      <c r="C75" s="7">
        <f>C67-D67</f>
        <v>32.5</v>
      </c>
    </row>
    <row r="76" spans="2:3" ht="12.75">
      <c r="B76" s="2" t="s">
        <v>167</v>
      </c>
      <c r="C76" s="7">
        <f>SQRT(C72/C64+C72/D64)</f>
        <v>4.722875771768251</v>
      </c>
    </row>
    <row r="77" spans="2:3" ht="13.5" thickBot="1">
      <c r="B77" s="2" t="s">
        <v>152</v>
      </c>
      <c r="C77" s="7">
        <v>0.05</v>
      </c>
    </row>
    <row r="78" spans="2:3" ht="12.75">
      <c r="B78" s="14" t="s">
        <v>151</v>
      </c>
      <c r="C78" s="10">
        <f>C75/C76</f>
        <v>6.881400564095709</v>
      </c>
    </row>
    <row r="79" spans="2:3" ht="13.5" thickBot="1">
      <c r="B79" s="16" t="s">
        <v>40</v>
      </c>
      <c r="C79" s="20">
        <f>TINV(C77,C65+D65)</f>
        <v>2.262157158173583</v>
      </c>
    </row>
    <row r="80" ht="12.75">
      <c r="C80" s="7"/>
    </row>
    <row r="81" spans="1:3" ht="12.75">
      <c r="A81" s="2" t="s">
        <v>128</v>
      </c>
      <c r="B81" s="17" t="s">
        <v>40</v>
      </c>
      <c r="C81" s="18">
        <f>C79</f>
        <v>2.262157158173583</v>
      </c>
    </row>
    <row r="82" spans="2:3" ht="13.5" thickBot="1">
      <c r="B82" s="2" t="s">
        <v>167</v>
      </c>
      <c r="C82" s="7">
        <f>SQRT(C72/C64+C72/D64)</f>
        <v>4.722875771768251</v>
      </c>
    </row>
    <row r="83" spans="2:3" ht="13.5" thickBot="1">
      <c r="B83" s="22" t="s">
        <v>135</v>
      </c>
      <c r="C83" s="8">
        <f>C81*C82</f>
        <v>10.683887234270134</v>
      </c>
    </row>
    <row r="85" spans="1:3" ht="12.75">
      <c r="A85" s="2" t="s">
        <v>136</v>
      </c>
      <c r="B85" s="17"/>
      <c r="C85" s="18"/>
    </row>
    <row r="86" spans="2:3" ht="12.75">
      <c r="B86" s="21"/>
      <c r="C86" s="18"/>
    </row>
    <row r="87" spans="2:3" ht="12.75">
      <c r="B87" s="21"/>
      <c r="C87" s="18"/>
    </row>
    <row r="89" spans="1:3" ht="12.75">
      <c r="A89" s="2" t="s">
        <v>168</v>
      </c>
      <c r="B89" s="21" t="s">
        <v>169</v>
      </c>
      <c r="C89" s="7">
        <f>SQRT(C70/C64)</f>
        <v>1.4240006242195884</v>
      </c>
    </row>
    <row r="90" spans="2:3" ht="13.5" thickBot="1">
      <c r="B90" s="17" t="s">
        <v>171</v>
      </c>
      <c r="C90" s="18">
        <f>TINV(C77,C65)</f>
        <v>2.262157158173583</v>
      </c>
    </row>
    <row r="91" spans="2:3" ht="13.5" thickBot="1">
      <c r="B91" s="22" t="s">
        <v>135</v>
      </c>
      <c r="C91" s="8">
        <f>C89*C90</f>
        <v>3.221313205321992</v>
      </c>
    </row>
    <row r="94" spans="1:3" ht="12.75">
      <c r="A94" s="1" t="s">
        <v>170</v>
      </c>
      <c r="B94" s="21" t="s">
        <v>157</v>
      </c>
      <c r="C94" s="19">
        <v>100</v>
      </c>
    </row>
    <row r="95" spans="2:3" ht="12.75">
      <c r="B95" s="21" t="s">
        <v>153</v>
      </c>
      <c r="C95" s="5">
        <v>15</v>
      </c>
    </row>
    <row r="96" spans="2:3" ht="12.75">
      <c r="B96" s="21" t="s">
        <v>41</v>
      </c>
      <c r="C96" s="39">
        <f>SQRT(C94/C95)</f>
        <v>2.581988897471611</v>
      </c>
    </row>
    <row r="97" spans="2:3" ht="13.5" thickBot="1">
      <c r="B97" s="21" t="s">
        <v>42</v>
      </c>
      <c r="C97" s="39">
        <f>NORMSINV(0.9)</f>
        <v>1.2815515655446004</v>
      </c>
    </row>
    <row r="98" spans="2:3" ht="13.5" thickBot="1">
      <c r="B98" s="22" t="s">
        <v>135</v>
      </c>
      <c r="C98" s="45">
        <f>C96*C97</f>
        <v>3.30895191377352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44" sqref="A44:IV78"/>
    </sheetView>
  </sheetViews>
  <sheetFormatPr defaultColWidth="11.00390625" defaultRowHeight="12.75"/>
  <cols>
    <col min="1" max="1" width="12.375" style="110" customWidth="1"/>
    <col min="2" max="2" width="12.625" style="109" customWidth="1"/>
    <col min="3" max="3" width="11.625" style="109" customWidth="1"/>
    <col min="4" max="12" width="9.125" style="109" customWidth="1"/>
    <col min="13" max="16384" width="10.75390625" style="109" customWidth="1"/>
  </cols>
  <sheetData>
    <row r="1" spans="1:10" s="72" customFormat="1" ht="12.75">
      <c r="A1" s="70"/>
      <c r="B1" s="71"/>
      <c r="C1" s="71"/>
      <c r="D1" s="71"/>
      <c r="E1" s="71"/>
      <c r="F1" s="71"/>
      <c r="G1" s="71"/>
      <c r="H1" s="71"/>
      <c r="I1" s="71"/>
      <c r="J1" s="71"/>
    </row>
    <row r="2" spans="1:10" s="72" customFormat="1" ht="12.75">
      <c r="A2" s="70"/>
      <c r="B2" s="71" t="s">
        <v>172</v>
      </c>
      <c r="C2" s="71" t="s">
        <v>173</v>
      </c>
      <c r="D2" s="71"/>
      <c r="E2" s="71"/>
      <c r="F2" s="71"/>
      <c r="G2" s="71"/>
      <c r="H2" s="71" t="s">
        <v>174</v>
      </c>
      <c r="I2" s="71"/>
      <c r="J2" s="71"/>
    </row>
    <row r="3" spans="1:11" s="75" customFormat="1" ht="12.75">
      <c r="A3" s="28" t="s">
        <v>116</v>
      </c>
      <c r="B3" s="73">
        <v>10</v>
      </c>
      <c r="C3" s="73">
        <v>2</v>
      </c>
      <c r="D3" s="73"/>
      <c r="E3" s="73"/>
      <c r="F3" s="73"/>
      <c r="G3" s="73"/>
      <c r="H3" s="73">
        <v>-2</v>
      </c>
      <c r="I3" s="73">
        <v>0</v>
      </c>
      <c r="J3" s="73">
        <v>1</v>
      </c>
      <c r="K3" s="74">
        <v>2</v>
      </c>
    </row>
    <row r="4" spans="1:11" s="75" customFormat="1" ht="12.75">
      <c r="A4" s="76"/>
      <c r="B4" s="134" t="s">
        <v>89</v>
      </c>
      <c r="C4" s="135" t="s">
        <v>90</v>
      </c>
      <c r="D4" s="135" t="s">
        <v>92</v>
      </c>
      <c r="E4" s="134" t="s">
        <v>91</v>
      </c>
      <c r="F4" s="74"/>
      <c r="G4" s="73"/>
      <c r="H4" s="134" t="s">
        <v>89</v>
      </c>
      <c r="I4" s="135" t="s">
        <v>90</v>
      </c>
      <c r="J4" s="135" t="s">
        <v>92</v>
      </c>
      <c r="K4" s="134" t="s">
        <v>91</v>
      </c>
    </row>
    <row r="5" spans="1:11" s="75" customFormat="1" ht="12.75">
      <c r="A5" s="76"/>
      <c r="B5" s="77">
        <v>7.9</v>
      </c>
      <c r="C5" s="77">
        <v>10.4</v>
      </c>
      <c r="D5" s="77">
        <v>14.8</v>
      </c>
      <c r="E5" s="77">
        <v>8.9</v>
      </c>
      <c r="F5" s="77"/>
      <c r="G5" s="73"/>
      <c r="H5" s="77">
        <f aca="true" ca="1" t="shared" si="0" ref="H5:H13">ROUND($B$3+H$3+NORMSINV(RAND())*$C$3,1)</f>
        <v>4.5</v>
      </c>
      <c r="I5" s="77">
        <f aca="true" ca="1" t="shared" si="1" ref="I5:K13">ROUND($B$3+I$3+NORMSINV(RAND())*$C$3,1)</f>
        <v>8.1</v>
      </c>
      <c r="J5" s="77">
        <f ca="1" t="shared" si="1"/>
        <v>12.7</v>
      </c>
      <c r="K5" s="77">
        <f ca="1" t="shared" si="1"/>
        <v>12.9</v>
      </c>
    </row>
    <row r="6" spans="1:11" s="75" customFormat="1" ht="12.75">
      <c r="A6" s="76"/>
      <c r="B6" s="77"/>
      <c r="C6" s="77">
        <v>5.9</v>
      </c>
      <c r="D6" s="77">
        <v>11.9</v>
      </c>
      <c r="E6" s="77">
        <v>12.9</v>
      </c>
      <c r="F6" s="77"/>
      <c r="G6" s="73"/>
      <c r="H6" s="77">
        <f ca="1" t="shared" si="0"/>
        <v>8.3</v>
      </c>
      <c r="I6" s="77">
        <f ca="1" t="shared" si="1"/>
        <v>13.2</v>
      </c>
      <c r="J6" s="77">
        <f ca="1" t="shared" si="1"/>
        <v>10</v>
      </c>
      <c r="K6" s="77">
        <f ca="1" t="shared" si="1"/>
        <v>12.1</v>
      </c>
    </row>
    <row r="7" spans="1:11" s="75" customFormat="1" ht="12.75">
      <c r="A7" s="76"/>
      <c r="B7" s="77"/>
      <c r="C7" s="77">
        <v>12.1</v>
      </c>
      <c r="D7" s="77">
        <v>11.7</v>
      </c>
      <c r="E7" s="77">
        <v>10.3</v>
      </c>
      <c r="F7" s="77"/>
      <c r="G7" s="73"/>
      <c r="H7" s="77">
        <f ca="1" t="shared" si="0"/>
        <v>6.4</v>
      </c>
      <c r="I7" s="77">
        <f ca="1" t="shared" si="1"/>
        <v>10.7</v>
      </c>
      <c r="J7" s="77">
        <f ca="1" t="shared" si="1"/>
        <v>10.4</v>
      </c>
      <c r="K7" s="77">
        <f ca="1" t="shared" si="1"/>
        <v>13.7</v>
      </c>
    </row>
    <row r="8" spans="1:11" s="75" customFormat="1" ht="12.75">
      <c r="A8" s="76"/>
      <c r="B8" s="77"/>
      <c r="C8" s="77">
        <v>11.4</v>
      </c>
      <c r="D8" s="77">
        <v>13.6</v>
      </c>
      <c r="E8" s="77">
        <v>12.3</v>
      </c>
      <c r="F8" s="77"/>
      <c r="G8" s="73"/>
      <c r="H8" s="77">
        <f ca="1" t="shared" si="0"/>
        <v>7.2</v>
      </c>
      <c r="I8" s="77">
        <f ca="1" t="shared" si="1"/>
        <v>10.3</v>
      </c>
      <c r="J8" s="77">
        <f ca="1" t="shared" si="1"/>
        <v>10.1</v>
      </c>
      <c r="K8" s="77">
        <f ca="1" t="shared" si="1"/>
        <v>13.7</v>
      </c>
    </row>
    <row r="9" spans="1:11" s="75" customFormat="1" ht="12.75">
      <c r="A9" s="76"/>
      <c r="B9" s="77"/>
      <c r="C9" s="77">
        <v>9.8</v>
      </c>
      <c r="D9" s="77">
        <v>12.5</v>
      </c>
      <c r="E9" s="77">
        <v>11.6</v>
      </c>
      <c r="F9" s="77"/>
      <c r="G9" s="73"/>
      <c r="H9" s="77">
        <f ca="1" t="shared" si="0"/>
        <v>6.9</v>
      </c>
      <c r="I9" s="77">
        <f ca="1" t="shared" si="1"/>
        <v>10.6</v>
      </c>
      <c r="J9" s="77">
        <f ca="1" t="shared" si="1"/>
        <v>9.4</v>
      </c>
      <c r="K9" s="77">
        <f ca="1" t="shared" si="1"/>
        <v>9.1</v>
      </c>
    </row>
    <row r="10" spans="1:11" s="75" customFormat="1" ht="12.75">
      <c r="A10" s="76"/>
      <c r="B10" s="77"/>
      <c r="C10" s="77">
        <v>9.9</v>
      </c>
      <c r="D10" s="77"/>
      <c r="E10" s="77">
        <v>11.6</v>
      </c>
      <c r="F10" s="77"/>
      <c r="G10" s="73"/>
      <c r="H10" s="77">
        <f ca="1" t="shared" si="0"/>
        <v>6.8</v>
      </c>
      <c r="I10" s="77">
        <f ca="1" t="shared" si="1"/>
        <v>10</v>
      </c>
      <c r="J10" s="77">
        <f ca="1" t="shared" si="1"/>
        <v>12.9</v>
      </c>
      <c r="K10" s="77">
        <f ca="1" t="shared" si="1"/>
        <v>10.4</v>
      </c>
    </row>
    <row r="11" spans="1:11" s="75" customFormat="1" ht="12.75">
      <c r="A11" s="76"/>
      <c r="B11" s="77"/>
      <c r="C11" s="77">
        <v>12.5</v>
      </c>
      <c r="D11" s="77"/>
      <c r="E11" s="77">
        <v>11</v>
      </c>
      <c r="F11" s="77"/>
      <c r="G11" s="73"/>
      <c r="H11" s="77">
        <f ca="1" t="shared" si="0"/>
        <v>9.9</v>
      </c>
      <c r="I11" s="77">
        <f ca="1" t="shared" si="1"/>
        <v>11.4</v>
      </c>
      <c r="J11" s="77">
        <f ca="1" t="shared" si="1"/>
        <v>11.5</v>
      </c>
      <c r="K11" s="77">
        <f ca="1" t="shared" si="1"/>
        <v>11.7</v>
      </c>
    </row>
    <row r="12" spans="1:11" s="75" customFormat="1" ht="12.75">
      <c r="A12" s="76"/>
      <c r="B12" s="77"/>
      <c r="C12" s="77">
        <v>8.5</v>
      </c>
      <c r="D12" s="77"/>
      <c r="E12" s="77"/>
      <c r="F12" s="77"/>
      <c r="G12" s="73"/>
      <c r="H12" s="77">
        <f ca="1" t="shared" si="0"/>
        <v>6</v>
      </c>
      <c r="I12" s="77">
        <f ca="1" t="shared" si="1"/>
        <v>9.7</v>
      </c>
      <c r="J12" s="77">
        <f ca="1" t="shared" si="1"/>
        <v>10.4</v>
      </c>
      <c r="K12" s="77">
        <f ca="1" t="shared" si="1"/>
        <v>12.1</v>
      </c>
    </row>
    <row r="13" spans="1:11" s="75" customFormat="1" ht="12.75">
      <c r="A13" s="76"/>
      <c r="B13" s="77"/>
      <c r="C13" s="77">
        <v>9.2</v>
      </c>
      <c r="D13" s="77"/>
      <c r="E13" s="77"/>
      <c r="F13" s="77"/>
      <c r="G13" s="73"/>
      <c r="H13" s="77">
        <f ca="1" t="shared" si="0"/>
        <v>9.8</v>
      </c>
      <c r="I13" s="77">
        <f ca="1" t="shared" si="1"/>
        <v>10</v>
      </c>
      <c r="J13" s="77">
        <f ca="1" t="shared" si="1"/>
        <v>11.8</v>
      </c>
      <c r="K13" s="77">
        <f ca="1" t="shared" si="1"/>
        <v>12.6</v>
      </c>
    </row>
    <row r="14" spans="1:10" s="75" customFormat="1" ht="12.75">
      <c r="A14" s="76"/>
      <c r="B14" s="73"/>
      <c r="C14" s="73"/>
      <c r="D14" s="73"/>
      <c r="E14" s="73"/>
      <c r="F14" s="73"/>
      <c r="G14" s="73"/>
      <c r="H14" s="73"/>
      <c r="I14" s="73"/>
      <c r="J14" s="73"/>
    </row>
    <row r="15" spans="1:10" s="75" customFormat="1" ht="13.5" thickBot="1">
      <c r="A15" s="111" t="s">
        <v>123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s="75" customFormat="1" ht="12.75">
      <c r="A16" s="78" t="s">
        <v>95</v>
      </c>
      <c r="B16" s="79">
        <f>COUNT(B5:B13)</f>
        <v>1</v>
      </c>
      <c r="C16" s="79">
        <f>COUNT(C5:C13)</f>
        <v>9</v>
      </c>
      <c r="D16" s="79">
        <f>COUNT(D5:D13)</f>
        <v>5</v>
      </c>
      <c r="E16" s="152">
        <f>COUNT(E5:E13)</f>
        <v>7</v>
      </c>
      <c r="F16" s="80">
        <f>SUM(B16:E16)</f>
        <v>22</v>
      </c>
      <c r="G16" s="73" t="s">
        <v>213</v>
      </c>
      <c r="H16" s="73"/>
      <c r="I16" s="73"/>
      <c r="J16" s="73"/>
    </row>
    <row r="17" spans="1:10" s="82" customFormat="1" ht="12.75">
      <c r="A17" s="81" t="s">
        <v>96</v>
      </c>
      <c r="B17" s="80">
        <f>B16-1</f>
        <v>0</v>
      </c>
      <c r="C17" s="80">
        <f>C16-1</f>
        <v>8</v>
      </c>
      <c r="D17" s="80">
        <f>D16-1</f>
        <v>4</v>
      </c>
      <c r="E17" s="153">
        <f>E16-1</f>
        <v>6</v>
      </c>
      <c r="F17" s="80"/>
      <c r="G17" s="80"/>
      <c r="H17" s="80"/>
      <c r="I17" s="80"/>
      <c r="J17" s="80"/>
    </row>
    <row r="18" spans="1:10" s="75" customFormat="1" ht="12.75">
      <c r="A18" s="83" t="s">
        <v>68</v>
      </c>
      <c r="B18" s="73">
        <f>SUM(B5:B13)</f>
        <v>7.9</v>
      </c>
      <c r="C18" s="73">
        <f>SUM(C5:C13)</f>
        <v>89.7</v>
      </c>
      <c r="D18" s="73">
        <f>SUM(D5:D13)</f>
        <v>64.5</v>
      </c>
      <c r="E18" s="154">
        <f>SUM(E5:E13)</f>
        <v>78.60000000000001</v>
      </c>
      <c r="F18" s="80">
        <f>SUM(B18:E18)</f>
        <v>240.70000000000005</v>
      </c>
      <c r="G18" s="73" t="s">
        <v>160</v>
      </c>
      <c r="H18" s="84"/>
      <c r="I18" s="84"/>
      <c r="J18" s="84"/>
    </row>
    <row r="19" spans="1:10" s="82" customFormat="1" ht="12.75">
      <c r="A19" s="81" t="s">
        <v>97</v>
      </c>
      <c r="B19" s="85">
        <f>SUMSQ(B5:B13)</f>
        <v>62.410000000000004</v>
      </c>
      <c r="C19" s="85">
        <f>SUMSQ(C5:C13)</f>
        <v>926.5300000000001</v>
      </c>
      <c r="D19" s="85">
        <f>SUMSQ(D5:D13)</f>
        <v>838.75</v>
      </c>
      <c r="E19" s="155">
        <f>SUMSQ(E5:E13)</f>
        <v>893.1200000000001</v>
      </c>
      <c r="F19" s="80"/>
      <c r="G19" s="80"/>
      <c r="H19" s="80"/>
      <c r="I19" s="80"/>
      <c r="J19" s="80"/>
    </row>
    <row r="20" spans="1:10" s="75" customFormat="1" ht="12.75">
      <c r="A20" s="83" t="s">
        <v>94</v>
      </c>
      <c r="B20" s="73">
        <f>B18^2/B16</f>
        <v>62.410000000000004</v>
      </c>
      <c r="C20" s="73">
        <f>C18^2/C16</f>
        <v>894.01</v>
      </c>
      <c r="D20" s="73">
        <f>D18^2/D16</f>
        <v>832.05</v>
      </c>
      <c r="E20" s="154">
        <f>E18^2/E16</f>
        <v>882.5657142857144</v>
      </c>
      <c r="F20" s="85">
        <f>SUM(B20:E20)</f>
        <v>2671.035714285714</v>
      </c>
      <c r="G20" s="73" t="s">
        <v>93</v>
      </c>
      <c r="H20" s="84"/>
      <c r="I20" s="84"/>
      <c r="J20" s="84"/>
    </row>
    <row r="21" spans="1:10" s="75" customFormat="1" ht="12.75">
      <c r="A21" s="83" t="s">
        <v>18</v>
      </c>
      <c r="B21" s="86">
        <f>B18/B16</f>
        <v>7.9</v>
      </c>
      <c r="C21" s="86">
        <f>C18/C16</f>
        <v>9.966666666666667</v>
      </c>
      <c r="D21" s="86">
        <f>D18/D16</f>
        <v>12.9</v>
      </c>
      <c r="E21" s="156">
        <f>E18/E16</f>
        <v>11.22857142857143</v>
      </c>
      <c r="F21" s="86"/>
      <c r="G21" s="73"/>
      <c r="H21" s="73"/>
      <c r="I21" s="73"/>
      <c r="J21" s="73"/>
    </row>
    <row r="22" spans="1:10" s="75" customFormat="1" ht="12.75">
      <c r="A22" s="83" t="s">
        <v>98</v>
      </c>
      <c r="B22" s="84">
        <f>B19-B18^2/B16</f>
        <v>0</v>
      </c>
      <c r="C22" s="84">
        <f>C19-C18^2/C16</f>
        <v>32.520000000000095</v>
      </c>
      <c r="D22" s="84">
        <f>D19-D18^2/D16</f>
        <v>6.7000000000000455</v>
      </c>
      <c r="E22" s="157">
        <f>E19-E18^2/E16</f>
        <v>10.554285714285697</v>
      </c>
      <c r="F22" s="84"/>
      <c r="G22" s="73"/>
      <c r="H22" s="73"/>
      <c r="I22" s="73"/>
      <c r="J22" s="73"/>
    </row>
    <row r="23" spans="1:10" s="75" customFormat="1" ht="13.5" thickBot="1">
      <c r="A23" s="87" t="s">
        <v>99</v>
      </c>
      <c r="B23" s="158" t="e">
        <f>B22/B17</f>
        <v>#DIV/0!</v>
      </c>
      <c r="C23" s="158">
        <f>C22/C17</f>
        <v>4.065000000000012</v>
      </c>
      <c r="D23" s="158">
        <f>D22/D17</f>
        <v>1.6750000000000114</v>
      </c>
      <c r="E23" s="159">
        <f>E22/E17</f>
        <v>1.7590476190476163</v>
      </c>
      <c r="F23" s="86"/>
      <c r="G23" s="73"/>
      <c r="H23" s="73"/>
      <c r="I23" s="73"/>
      <c r="J23" s="73"/>
    </row>
    <row r="24" spans="1:10" s="75" customFormat="1" ht="13.5" thickBot="1">
      <c r="A24" s="76"/>
      <c r="B24" s="73"/>
      <c r="C24" s="73"/>
      <c r="D24" s="73"/>
      <c r="E24" s="73"/>
      <c r="F24" s="73"/>
      <c r="G24" s="73"/>
      <c r="H24" s="73"/>
      <c r="I24" s="73"/>
      <c r="J24" s="73"/>
    </row>
    <row r="25" spans="1:6" s="75" customFormat="1" ht="12.75">
      <c r="A25" s="160" t="s">
        <v>125</v>
      </c>
      <c r="B25" s="93" t="s">
        <v>154</v>
      </c>
      <c r="C25" s="93" t="s">
        <v>119</v>
      </c>
      <c r="D25" s="93" t="s">
        <v>206</v>
      </c>
      <c r="E25" s="93" t="s">
        <v>207</v>
      </c>
      <c r="F25" s="161" t="s">
        <v>208</v>
      </c>
    </row>
    <row r="26" spans="1:6" s="75" customFormat="1" ht="12.75">
      <c r="A26" s="83" t="s">
        <v>209</v>
      </c>
      <c r="B26" s="82">
        <f>COUNT(B16:E16)-1</f>
        <v>3</v>
      </c>
      <c r="C26" s="88">
        <f>F20-F18^2/F16</f>
        <v>37.55889610389522</v>
      </c>
      <c r="D26" s="88">
        <f>C26/B26</f>
        <v>12.51963203463174</v>
      </c>
      <c r="E26" s="88">
        <f>D26/D27</f>
        <v>4.5275059880707165</v>
      </c>
      <c r="F26" s="162">
        <f>FINV(0.05,B26,B27)</f>
        <v>3.159907597942186</v>
      </c>
    </row>
    <row r="27" spans="1:6" s="75" customFormat="1" ht="13.5" thickBot="1">
      <c r="A27" s="87" t="s">
        <v>210</v>
      </c>
      <c r="B27" s="163">
        <f>SUM(B17:E17)</f>
        <v>18</v>
      </c>
      <c r="C27" s="164">
        <f>SUMSQ(B5:E13)-F20</f>
        <v>49.774285714285725</v>
      </c>
      <c r="D27" s="164">
        <f>C27/B27</f>
        <v>2.7652380952380957</v>
      </c>
      <c r="E27" s="102"/>
      <c r="F27" s="103"/>
    </row>
    <row r="28" spans="1:10" s="75" customFormat="1" ht="13.5" thickBot="1">
      <c r="A28" s="76"/>
      <c r="B28" s="86"/>
      <c r="C28" s="86"/>
      <c r="D28" s="86"/>
      <c r="E28" s="86"/>
      <c r="F28" s="89"/>
      <c r="G28" s="73"/>
      <c r="H28" s="73"/>
      <c r="I28" s="73"/>
      <c r="J28" s="73"/>
    </row>
    <row r="29" spans="1:12" s="75" customFormat="1" ht="12.75">
      <c r="A29" s="111" t="s">
        <v>126</v>
      </c>
      <c r="C29" s="75" t="s">
        <v>119</v>
      </c>
      <c r="D29" s="75" t="s">
        <v>230</v>
      </c>
      <c r="E29" s="76" t="s">
        <v>16</v>
      </c>
      <c r="F29" s="76"/>
      <c r="G29" s="90" t="s">
        <v>17</v>
      </c>
      <c r="H29" s="90" t="s">
        <v>175</v>
      </c>
      <c r="I29" s="91" t="s">
        <v>135</v>
      </c>
      <c r="J29" s="92"/>
      <c r="K29" s="93"/>
      <c r="L29" s="94"/>
    </row>
    <row r="30" spans="1:12" s="75" customFormat="1" ht="12.75">
      <c r="A30" s="111"/>
      <c r="B30" s="76" t="s">
        <v>176</v>
      </c>
      <c r="C30" s="88">
        <f>C27</f>
        <v>49.774285714285725</v>
      </c>
      <c r="D30" s="95">
        <f>B27</f>
        <v>18</v>
      </c>
      <c r="E30" s="96">
        <f>C30/D30</f>
        <v>2.7652380952380957</v>
      </c>
      <c r="F30" s="96"/>
      <c r="G30" s="96">
        <f>SQRT(E30/$C$16)</f>
        <v>0.5543001689055104</v>
      </c>
      <c r="H30" s="90">
        <f>TINV(0.05,D30)</f>
        <v>2.1009220368611805</v>
      </c>
      <c r="I30" s="97">
        <f>G30*H30</f>
        <v>1.1645414398894613</v>
      </c>
      <c r="J30" s="98" t="s">
        <v>176</v>
      </c>
      <c r="L30" s="99"/>
    </row>
    <row r="31" spans="1:12" s="75" customFormat="1" ht="12.75">
      <c r="A31" s="111"/>
      <c r="B31" s="76" t="s">
        <v>205</v>
      </c>
      <c r="C31" s="88">
        <f>C22</f>
        <v>32.520000000000095</v>
      </c>
      <c r="D31" s="95">
        <f>C17</f>
        <v>8</v>
      </c>
      <c r="E31" s="96">
        <f>C31/D31</f>
        <v>4.065000000000012</v>
      </c>
      <c r="F31" s="96"/>
      <c r="G31" s="96">
        <f>SQRT(E31/C16)</f>
        <v>0.672061505121866</v>
      </c>
      <c r="H31" s="90">
        <f>TINV(0.05,D31)</f>
        <v>2.3060041332991172</v>
      </c>
      <c r="I31" s="97">
        <f>G31*H31</f>
        <v>1.5497766086422489</v>
      </c>
      <c r="J31" s="98" t="s">
        <v>205</v>
      </c>
      <c r="L31" s="99"/>
    </row>
    <row r="32" spans="1:12" s="75" customFormat="1" ht="13.5" thickBot="1">
      <c r="A32" s="111"/>
      <c r="B32" s="76" t="s">
        <v>20</v>
      </c>
      <c r="C32" s="104">
        <f>E22+C22</f>
        <v>43.07428571428579</v>
      </c>
      <c r="D32" s="95">
        <f>E17+C17</f>
        <v>14</v>
      </c>
      <c r="E32" s="96">
        <f>C32/D32</f>
        <v>3.076734693877557</v>
      </c>
      <c r="F32" s="96"/>
      <c r="G32" s="96">
        <f>SQRT(E32/$C$16)</f>
        <v>0.5846874467874607</v>
      </c>
      <c r="H32" s="90">
        <f>TINV(0.05,D32)</f>
        <v>2.144786681282085</v>
      </c>
      <c r="I32" s="100">
        <f>G32*H32</f>
        <v>1.2540298485825734</v>
      </c>
      <c r="J32" s="101" t="s">
        <v>100</v>
      </c>
      <c r="K32" s="102"/>
      <c r="L32" s="103"/>
    </row>
    <row r="33" spans="1:4" s="75" customFormat="1" ht="13.5" thickBot="1">
      <c r="A33" s="76"/>
      <c r="B33" s="82"/>
      <c r="C33" s="88"/>
      <c r="D33" s="88"/>
    </row>
    <row r="34" spans="1:4" s="75" customFormat="1" ht="12.75">
      <c r="A34" s="76" t="s">
        <v>128</v>
      </c>
      <c r="B34" s="165" t="s">
        <v>22</v>
      </c>
      <c r="C34" s="166">
        <f>C26+C27</f>
        <v>87.33318181818095</v>
      </c>
      <c r="D34" s="88"/>
    </row>
    <row r="35" spans="1:4" s="75" customFormat="1" ht="12.75">
      <c r="A35" s="76"/>
      <c r="B35" s="167" t="s">
        <v>23</v>
      </c>
      <c r="C35" s="168">
        <f>B26+B27</f>
        <v>21</v>
      </c>
      <c r="D35" s="88"/>
    </row>
    <row r="36" spans="1:4" s="75" customFormat="1" ht="12.75">
      <c r="A36" s="76"/>
      <c r="B36" s="167" t="s">
        <v>162</v>
      </c>
      <c r="C36" s="169">
        <f>C34/C35</f>
        <v>4.1587229437229025</v>
      </c>
      <c r="D36" s="88"/>
    </row>
    <row r="37" spans="1:4" s="75" customFormat="1" ht="13.5" thickBot="1">
      <c r="A37" s="76"/>
      <c r="B37" s="170" t="s">
        <v>24</v>
      </c>
      <c r="C37" s="171">
        <f>SQRT(C36)</f>
        <v>2.0392947172301756</v>
      </c>
      <c r="D37" s="88"/>
    </row>
    <row r="38" spans="1:4" s="75" customFormat="1" ht="12.75">
      <c r="A38" s="76"/>
      <c r="B38" s="82"/>
      <c r="C38" s="88"/>
      <c r="D38" s="88"/>
    </row>
    <row r="39" s="75" customFormat="1" ht="13.5" thickBot="1">
      <c r="A39" s="76" t="s">
        <v>136</v>
      </c>
    </row>
    <row r="40" spans="1:6" s="75" customFormat="1" ht="12.75">
      <c r="A40" s="78"/>
      <c r="B40" s="172" t="s">
        <v>101</v>
      </c>
      <c r="C40" s="173">
        <f>C23</f>
        <v>4.065000000000012</v>
      </c>
      <c r="D40" s="174"/>
      <c r="E40" s="172" t="s">
        <v>207</v>
      </c>
      <c r="F40" s="175">
        <f>C40/C41</f>
        <v>2.310909583107753</v>
      </c>
    </row>
    <row r="41" spans="1:6" s="75" customFormat="1" ht="13.5" thickBot="1">
      <c r="A41" s="87"/>
      <c r="B41" s="176" t="s">
        <v>21</v>
      </c>
      <c r="C41" s="177">
        <f>E23</f>
        <v>1.7590476190476163</v>
      </c>
      <c r="D41" s="164"/>
      <c r="E41" s="176" t="s">
        <v>208</v>
      </c>
      <c r="F41" s="103">
        <f>FINV(0.025,E17,C17)</f>
        <v>4.651695537427365</v>
      </c>
    </row>
    <row r="42" spans="1:4" s="75" customFormat="1" ht="12.75">
      <c r="A42" s="76"/>
      <c r="C42" s="88"/>
      <c r="D42" s="88"/>
    </row>
    <row r="43" spans="1:4" s="75" customFormat="1" ht="12.75">
      <c r="A43" s="76"/>
      <c r="C43" s="88"/>
      <c r="D43" s="88"/>
    </row>
    <row r="44" spans="1:3" s="75" customFormat="1" ht="12.75">
      <c r="A44" s="138" t="s">
        <v>158</v>
      </c>
      <c r="B44" s="75" t="s">
        <v>153</v>
      </c>
      <c r="C44" s="95">
        <v>20</v>
      </c>
    </row>
    <row r="45" spans="1:11" s="75" customFormat="1" ht="12.75">
      <c r="A45" s="105"/>
      <c r="I45" s="73"/>
      <c r="J45" s="73"/>
      <c r="K45" s="73"/>
    </row>
    <row r="46" spans="1:11" ht="12.75">
      <c r="A46" s="76"/>
      <c r="B46" s="75"/>
      <c r="C46" s="75" t="s">
        <v>105</v>
      </c>
      <c r="D46" s="75">
        <v>2</v>
      </c>
      <c r="E46" s="75"/>
      <c r="F46" s="75"/>
      <c r="G46" s="75"/>
      <c r="H46" s="106"/>
      <c r="I46" s="107"/>
      <c r="J46" s="107"/>
      <c r="K46" s="108"/>
    </row>
    <row r="47" spans="3:11" ht="12.75">
      <c r="C47" s="126" t="s">
        <v>212</v>
      </c>
      <c r="D47" s="142" t="s">
        <v>89</v>
      </c>
      <c r="E47" s="76" t="s">
        <v>90</v>
      </c>
      <c r="F47" s="76" t="s">
        <v>92</v>
      </c>
      <c r="G47" s="142" t="s">
        <v>91</v>
      </c>
      <c r="H47" s="106"/>
      <c r="I47" s="107"/>
      <c r="J47" s="107"/>
      <c r="K47" s="107"/>
    </row>
    <row r="48" spans="2:11" ht="12.75">
      <c r="B48" s="76" t="s">
        <v>86</v>
      </c>
      <c r="C48" s="126"/>
      <c r="D48" s="76">
        <v>-2</v>
      </c>
      <c r="E48" s="76">
        <v>0</v>
      </c>
      <c r="F48" s="76">
        <v>1</v>
      </c>
      <c r="G48" s="142">
        <v>2</v>
      </c>
      <c r="H48" s="106"/>
      <c r="I48" s="107"/>
      <c r="J48" s="107"/>
      <c r="K48" s="107"/>
    </row>
    <row r="49" spans="1:13" s="75" customFormat="1" ht="12.75">
      <c r="A49" s="111"/>
      <c r="B49" s="109">
        <v>0</v>
      </c>
      <c r="C49" s="96" t="s">
        <v>102</v>
      </c>
      <c r="D49" s="143">
        <v>9.5</v>
      </c>
      <c r="E49" s="143">
        <v>9.9</v>
      </c>
      <c r="F49" s="143">
        <v>14.2</v>
      </c>
      <c r="G49" s="143">
        <v>11.8</v>
      </c>
      <c r="H49" s="112"/>
      <c r="I49" s="73"/>
      <c r="J49" s="141">
        <f aca="true" ca="1" t="shared" si="2" ref="J49:M51">ROUND($B$3+D$48+$B49+NORMSINV(RAND())*$D$46,1)</f>
        <v>9.2</v>
      </c>
      <c r="K49" s="141">
        <f ca="1" t="shared" si="2"/>
        <v>9.8</v>
      </c>
      <c r="L49" s="141">
        <f ca="1" t="shared" si="2"/>
        <v>8.7</v>
      </c>
      <c r="M49" s="141">
        <f ca="1" t="shared" si="2"/>
        <v>13.2</v>
      </c>
    </row>
    <row r="50" spans="1:13" ht="12.75">
      <c r="A50" s="76"/>
      <c r="B50" s="109">
        <v>2</v>
      </c>
      <c r="C50" s="115" t="s">
        <v>103</v>
      </c>
      <c r="D50" s="143">
        <v>11.2</v>
      </c>
      <c r="E50" s="143">
        <v>7.6</v>
      </c>
      <c r="F50" s="143">
        <v>13.2</v>
      </c>
      <c r="G50" s="143">
        <v>16.9</v>
      </c>
      <c r="H50" s="114"/>
      <c r="I50" s="107"/>
      <c r="J50" s="141">
        <f ca="1" t="shared" si="2"/>
        <v>6.9</v>
      </c>
      <c r="K50" s="141">
        <f ca="1" t="shared" si="2"/>
        <v>9.7</v>
      </c>
      <c r="L50" s="141">
        <f ca="1" t="shared" si="2"/>
        <v>10.6</v>
      </c>
      <c r="M50" s="141">
        <f ca="1" t="shared" si="2"/>
        <v>18</v>
      </c>
    </row>
    <row r="51" spans="1:13" ht="12.75">
      <c r="A51" s="115"/>
      <c r="B51" s="75">
        <v>3</v>
      </c>
      <c r="C51" s="115" t="s">
        <v>104</v>
      </c>
      <c r="D51" s="143">
        <v>12.9</v>
      </c>
      <c r="E51" s="143">
        <v>16.7</v>
      </c>
      <c r="F51" s="143">
        <v>13.3</v>
      </c>
      <c r="G51" s="143">
        <v>16.5</v>
      </c>
      <c r="H51" s="114"/>
      <c r="I51" s="107"/>
      <c r="J51" s="141">
        <f ca="1" t="shared" si="2"/>
        <v>13.1</v>
      </c>
      <c r="K51" s="141">
        <f ca="1" t="shared" si="2"/>
        <v>15.6</v>
      </c>
      <c r="L51" s="141">
        <f ca="1" t="shared" si="2"/>
        <v>14.3</v>
      </c>
      <c r="M51" s="141">
        <f ca="1" t="shared" si="2"/>
        <v>15.5</v>
      </c>
    </row>
    <row r="52" spans="1:11" ht="12.75">
      <c r="A52" s="115"/>
      <c r="B52" s="113"/>
      <c r="C52" s="113"/>
      <c r="D52" s="113"/>
      <c r="E52" s="113"/>
      <c r="F52" s="113"/>
      <c r="G52" s="106"/>
      <c r="H52" s="114"/>
      <c r="I52" s="107"/>
      <c r="J52" s="107"/>
      <c r="K52" s="107"/>
    </row>
    <row r="53" spans="1:11" ht="12.75">
      <c r="A53" s="115"/>
      <c r="B53" s="113"/>
      <c r="C53" s="113"/>
      <c r="D53" s="113"/>
      <c r="E53" s="113"/>
      <c r="F53" s="113"/>
      <c r="G53" s="106"/>
      <c r="H53" s="114"/>
      <c r="I53" s="107"/>
      <c r="J53" s="107"/>
      <c r="K53" s="107"/>
    </row>
    <row r="54" spans="1:12" ht="12.75">
      <c r="A54" s="115"/>
      <c r="B54" s="113"/>
      <c r="C54" s="126" t="s">
        <v>211</v>
      </c>
      <c r="D54" s="74" t="s">
        <v>89</v>
      </c>
      <c r="E54" s="73" t="s">
        <v>90</v>
      </c>
      <c r="F54" s="73" t="s">
        <v>92</v>
      </c>
      <c r="G54" s="74" t="s">
        <v>91</v>
      </c>
      <c r="H54" s="106" t="s">
        <v>107</v>
      </c>
      <c r="I54" s="106"/>
      <c r="J54" s="106"/>
      <c r="K54" s="106"/>
      <c r="L54" s="116"/>
    </row>
    <row r="55" spans="1:8" ht="12.75">
      <c r="A55" s="115"/>
      <c r="B55" s="106"/>
      <c r="C55" s="106"/>
      <c r="D55" s="122">
        <f aca="true" t="shared" si="3" ref="D55:G57">D49*$C$44</f>
        <v>190</v>
      </c>
      <c r="E55" s="122">
        <f t="shared" si="3"/>
        <v>198</v>
      </c>
      <c r="F55" s="122">
        <f t="shared" si="3"/>
        <v>284</v>
      </c>
      <c r="G55" s="122">
        <f t="shared" si="3"/>
        <v>236</v>
      </c>
      <c r="H55" s="139">
        <f>SUM(D55:G55)</f>
        <v>908</v>
      </c>
    </row>
    <row r="56" spans="1:8" ht="12.75">
      <c r="A56" s="115"/>
      <c r="B56" s="117"/>
      <c r="C56" s="106"/>
      <c r="D56" s="122">
        <f t="shared" si="3"/>
        <v>224</v>
      </c>
      <c r="E56" s="122">
        <f t="shared" si="3"/>
        <v>152</v>
      </c>
      <c r="F56" s="122">
        <f t="shared" si="3"/>
        <v>264</v>
      </c>
      <c r="G56" s="122">
        <f t="shared" si="3"/>
        <v>338</v>
      </c>
      <c r="H56" s="139">
        <f>SUM(D56:G56)</f>
        <v>978</v>
      </c>
    </row>
    <row r="57" spans="1:8" ht="12.75">
      <c r="A57" s="115"/>
      <c r="B57" s="117"/>
      <c r="C57" s="106"/>
      <c r="D57" s="122">
        <f t="shared" si="3"/>
        <v>258</v>
      </c>
      <c r="E57" s="122">
        <f t="shared" si="3"/>
        <v>334</v>
      </c>
      <c r="F57" s="122">
        <f t="shared" si="3"/>
        <v>266</v>
      </c>
      <c r="G57" s="122">
        <f t="shared" si="3"/>
        <v>330</v>
      </c>
      <c r="H57" s="139">
        <f>SUM(D57:G57)</f>
        <v>1188</v>
      </c>
    </row>
    <row r="58" spans="1:11" ht="12.75">
      <c r="A58" s="115"/>
      <c r="B58" s="117"/>
      <c r="C58" s="106"/>
      <c r="D58" s="122"/>
      <c r="E58" s="122"/>
      <c r="F58" s="122"/>
      <c r="G58" s="122"/>
      <c r="H58" s="122"/>
      <c r="I58" s="106"/>
      <c r="J58" s="106"/>
      <c r="K58" s="106"/>
    </row>
    <row r="59" spans="1:9" ht="12.75">
      <c r="A59" s="115"/>
      <c r="B59" s="106"/>
      <c r="C59" s="106" t="s">
        <v>106</v>
      </c>
      <c r="D59" s="122">
        <f>SUM(D55:D57)</f>
        <v>672</v>
      </c>
      <c r="E59" s="122">
        <f>SUM(E55:E57)</f>
        <v>684</v>
      </c>
      <c r="F59" s="122">
        <f>SUM(F55:F57)</f>
        <v>814</v>
      </c>
      <c r="G59" s="122">
        <f>SUM(G55:G57)</f>
        <v>904</v>
      </c>
      <c r="H59" s="140">
        <f>SUM(H55:H57)</f>
        <v>3074</v>
      </c>
      <c r="I59" s="109" t="s">
        <v>160</v>
      </c>
    </row>
    <row r="60" spans="1:9" s="75" customFormat="1" ht="12.75">
      <c r="A60" s="115"/>
      <c r="B60" s="119"/>
      <c r="C60" s="106"/>
      <c r="D60" s="112"/>
      <c r="E60" s="73"/>
      <c r="F60" s="73"/>
      <c r="G60" s="73"/>
      <c r="H60" s="127">
        <f>C44*12</f>
        <v>240</v>
      </c>
      <c r="I60" s="75" t="s">
        <v>213</v>
      </c>
    </row>
    <row r="61" spans="1:11" ht="12.75">
      <c r="A61" s="115"/>
      <c r="B61" s="118"/>
      <c r="C61" s="106"/>
      <c r="D61" s="110"/>
      <c r="E61" s="120"/>
      <c r="F61" s="120"/>
      <c r="G61" s="120"/>
      <c r="H61" s="128">
        <f>H59^2/H60</f>
        <v>39372.816666666666</v>
      </c>
      <c r="I61" s="121" t="s">
        <v>214</v>
      </c>
      <c r="J61" s="113"/>
      <c r="K61" s="113"/>
    </row>
    <row r="62" spans="1:11" ht="13.5" thickBot="1">
      <c r="A62" s="115"/>
      <c r="B62" s="118"/>
      <c r="C62" s="106"/>
      <c r="D62" s="110"/>
      <c r="E62" s="120"/>
      <c r="F62" s="120"/>
      <c r="G62" s="120"/>
      <c r="H62" s="128"/>
      <c r="I62" s="121"/>
      <c r="J62" s="113"/>
      <c r="K62" s="113"/>
    </row>
    <row r="63" spans="1:11" ht="13.5" thickBot="1">
      <c r="A63" s="115" t="s">
        <v>123</v>
      </c>
      <c r="B63" s="149">
        <f>C44</f>
        <v>20</v>
      </c>
      <c r="C63" s="150">
        <f>B63*3</f>
        <v>60</v>
      </c>
      <c r="D63" s="150">
        <f>B63*4</f>
        <v>80</v>
      </c>
      <c r="E63" s="151">
        <f>C44*12</f>
        <v>240</v>
      </c>
      <c r="F63" s="122"/>
      <c r="G63" s="122"/>
      <c r="H63" s="122"/>
      <c r="I63" s="122"/>
      <c r="J63" s="122"/>
      <c r="K63" s="106"/>
    </row>
    <row r="64" spans="1:11" ht="12.75">
      <c r="A64" s="115"/>
      <c r="B64" s="118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29"/>
      <c r="B65" s="106"/>
      <c r="C65" s="114"/>
      <c r="D65" s="106"/>
      <c r="E65" s="106"/>
      <c r="F65" s="106"/>
      <c r="G65" s="106"/>
      <c r="H65" s="106"/>
      <c r="I65" s="106"/>
      <c r="J65" s="106"/>
      <c r="K65" s="106"/>
    </row>
    <row r="66" spans="1:11" ht="13.5" thickBot="1">
      <c r="A66" s="115" t="s">
        <v>125</v>
      </c>
      <c r="B66" s="106"/>
      <c r="C66" s="115" t="s">
        <v>108</v>
      </c>
      <c r="D66" s="115" t="s">
        <v>119</v>
      </c>
      <c r="E66" s="110" t="s">
        <v>154</v>
      </c>
      <c r="F66" s="133" t="s">
        <v>206</v>
      </c>
      <c r="G66" s="133" t="s">
        <v>207</v>
      </c>
      <c r="H66" s="133" t="s">
        <v>208</v>
      </c>
      <c r="I66" s="121"/>
      <c r="J66" s="113"/>
      <c r="K66" s="113"/>
    </row>
    <row r="67" spans="1:11" ht="13.5" thickBot="1">
      <c r="A67" s="115"/>
      <c r="B67" s="129" t="s">
        <v>209</v>
      </c>
      <c r="C67" s="122">
        <f>SUMSQ(D55:G57)</f>
        <v>826652</v>
      </c>
      <c r="D67" s="137">
        <f>C67/C44-$H$61</f>
        <v>1959.7833333333328</v>
      </c>
      <c r="E67" s="147">
        <v>11</v>
      </c>
      <c r="F67" s="120"/>
      <c r="G67" s="120"/>
      <c r="H67" s="120"/>
      <c r="I67" s="121"/>
      <c r="J67" s="113"/>
      <c r="K67" s="113"/>
    </row>
    <row r="68" spans="1:11" ht="12.75">
      <c r="A68" s="115"/>
      <c r="B68" s="130" t="s">
        <v>109</v>
      </c>
      <c r="C68" s="122">
        <f>SUMSQ(D59:G59)</f>
        <v>2399252</v>
      </c>
      <c r="D68" s="115">
        <f>C68/(C44*3)-$H$61</f>
        <v>614.7166666666672</v>
      </c>
      <c r="E68" s="128">
        <v>3</v>
      </c>
      <c r="F68" s="120">
        <f>D68/E68</f>
        <v>204.9055555555557</v>
      </c>
      <c r="G68" s="120">
        <f>F68/$F$71</f>
        <v>40.98111111111114</v>
      </c>
      <c r="H68" s="120">
        <f>FINV(0.05,E68,$E$71)</f>
        <v>2.644194493375707</v>
      </c>
      <c r="I68" s="121"/>
      <c r="J68" s="113"/>
      <c r="K68" s="113"/>
    </row>
    <row r="69" spans="1:11" ht="12.75">
      <c r="A69" s="115"/>
      <c r="B69" s="115" t="s">
        <v>110</v>
      </c>
      <c r="C69" s="122">
        <f>SUMSQ(H55:H57)</f>
        <v>3192292</v>
      </c>
      <c r="D69" s="115">
        <f>C69/(C44*4)-$H$61</f>
        <v>530.8333333333358</v>
      </c>
      <c r="E69" s="131">
        <v>2</v>
      </c>
      <c r="F69" s="120">
        <f>D69/E69</f>
        <v>265.4166666666679</v>
      </c>
      <c r="G69" s="120">
        <f>F69/$F$71</f>
        <v>53.08333333333358</v>
      </c>
      <c r="H69" s="120">
        <f>FINV(0.05,E69,$E$71)</f>
        <v>3.0354407908960965</v>
      </c>
      <c r="I69" s="121"/>
      <c r="J69" s="106"/>
      <c r="K69" s="106"/>
    </row>
    <row r="70" spans="1:11" ht="13.5" thickBot="1">
      <c r="A70" s="115"/>
      <c r="B70" s="129" t="s">
        <v>111</v>
      </c>
      <c r="C70" s="106"/>
      <c r="D70" s="109">
        <f>D67-(D68+D69)</f>
        <v>814.2333333333299</v>
      </c>
      <c r="E70" s="132">
        <f>E68*E69</f>
        <v>6</v>
      </c>
      <c r="F70" s="120">
        <f>D70/E70</f>
        <v>135.70555555555498</v>
      </c>
      <c r="G70" s="120">
        <f>F70/$F$71</f>
        <v>27.141111111110995</v>
      </c>
      <c r="H70" s="120">
        <f>FINV(0.05,E70,$E$71)</f>
        <v>2.1384907582883965</v>
      </c>
      <c r="J70" s="106"/>
      <c r="K70" s="106"/>
    </row>
    <row r="71" spans="1:11" ht="13.5" thickBot="1">
      <c r="A71" s="115"/>
      <c r="B71" s="130" t="s">
        <v>210</v>
      </c>
      <c r="C71" s="106">
        <f>D71+C67/C44</f>
        <v>42472.6</v>
      </c>
      <c r="D71" s="145">
        <f>F71*E71</f>
        <v>1140</v>
      </c>
      <c r="E71" s="146">
        <f>12*(C44-1)</f>
        <v>228</v>
      </c>
      <c r="F71" s="106">
        <v>5</v>
      </c>
      <c r="G71" s="106"/>
      <c r="H71" s="106"/>
      <c r="I71" s="106"/>
      <c r="J71" s="106"/>
      <c r="K71" s="106"/>
    </row>
    <row r="72" spans="1:11" ht="13.5" thickBot="1">
      <c r="A72" s="115"/>
      <c r="B72" s="106" t="s">
        <v>117</v>
      </c>
      <c r="C72" s="106"/>
      <c r="D72" s="145">
        <f>D67+D71</f>
        <v>3099.783333333333</v>
      </c>
      <c r="E72" s="148">
        <f>E67+E71</f>
        <v>239</v>
      </c>
      <c r="F72" s="106"/>
      <c r="G72" s="106"/>
      <c r="H72" s="106"/>
      <c r="I72" s="106"/>
      <c r="J72" s="106"/>
      <c r="K72" s="106"/>
    </row>
    <row r="73" spans="1:11" ht="12.75">
      <c r="A73" s="29"/>
      <c r="B73" s="106"/>
      <c r="C73" s="117"/>
      <c r="D73" s="114"/>
      <c r="E73" s="114"/>
      <c r="F73" s="114"/>
      <c r="G73" s="114"/>
      <c r="H73" s="114"/>
      <c r="I73" s="106"/>
      <c r="J73" s="106"/>
      <c r="K73" s="106"/>
    </row>
    <row r="74" spans="1:11" ht="12.75">
      <c r="A74" s="115" t="s">
        <v>125</v>
      </c>
      <c r="B74" s="115" t="s">
        <v>162</v>
      </c>
      <c r="C74" s="106">
        <f>F71</f>
        <v>5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29"/>
      <c r="B75" s="115" t="s">
        <v>154</v>
      </c>
      <c r="C75" s="122">
        <f>E71</f>
        <v>228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29"/>
      <c r="B76" s="115" t="s">
        <v>163</v>
      </c>
      <c r="C76" s="136">
        <f>SQRT(C74/C44)</f>
        <v>0.5</v>
      </c>
      <c r="D76" s="106"/>
      <c r="E76" s="106"/>
      <c r="F76" s="106"/>
      <c r="G76" s="106"/>
      <c r="H76" s="106"/>
      <c r="I76" s="106"/>
      <c r="J76" s="106"/>
      <c r="K76" s="106"/>
    </row>
    <row r="77" spans="1:11" ht="13.5" thickBot="1">
      <c r="A77" s="29"/>
      <c r="B77" s="115" t="s">
        <v>134</v>
      </c>
      <c r="C77" s="136">
        <f>TINV(0.05,C75)</f>
        <v>1.9704231427019248</v>
      </c>
      <c r="D77" s="106"/>
      <c r="E77" s="106"/>
      <c r="F77" s="106"/>
      <c r="G77" s="106"/>
      <c r="H77" s="106"/>
      <c r="I77" s="106"/>
      <c r="J77" s="106"/>
      <c r="K77" s="106"/>
    </row>
    <row r="78" spans="1:11" ht="13.5" thickBot="1">
      <c r="A78" s="29"/>
      <c r="B78" s="137" t="s">
        <v>82</v>
      </c>
      <c r="C78" s="144">
        <f>C76*C77</f>
        <v>0.9852115713509624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29"/>
      <c r="B79" s="123"/>
      <c r="C79" s="117"/>
      <c r="D79" s="114"/>
      <c r="I79" s="106"/>
      <c r="J79" s="106"/>
      <c r="K79" s="106"/>
    </row>
    <row r="80" spans="1:11" ht="12.75">
      <c r="A80" s="29"/>
      <c r="B80" s="123"/>
      <c r="C80" s="117"/>
      <c r="D80" s="114"/>
      <c r="I80" s="106"/>
      <c r="J80" s="106"/>
      <c r="K80" s="106"/>
    </row>
    <row r="81" spans="1:11" ht="12.75">
      <c r="A81" s="29"/>
      <c r="B81" s="123"/>
      <c r="C81" s="117"/>
      <c r="D81" s="114"/>
      <c r="I81" s="106"/>
      <c r="J81" s="106"/>
      <c r="K81" s="106"/>
    </row>
    <row r="82" spans="1:11" ht="12.75">
      <c r="A82" s="29"/>
      <c r="B82" s="106"/>
      <c r="C82" s="117"/>
      <c r="D82" s="114"/>
      <c r="E82" s="114"/>
      <c r="F82" s="114"/>
      <c r="G82" s="114"/>
      <c r="H82" s="114"/>
      <c r="I82" s="106"/>
      <c r="J82" s="106"/>
      <c r="K82" s="106"/>
    </row>
    <row r="83" spans="1:11" ht="12.75">
      <c r="A83" s="29"/>
      <c r="B83" s="106"/>
      <c r="C83" s="117"/>
      <c r="D83" s="114"/>
      <c r="E83" s="114"/>
      <c r="F83" s="114"/>
      <c r="G83" s="114"/>
      <c r="H83" s="114"/>
      <c r="I83" s="106"/>
      <c r="J83" s="106"/>
      <c r="K83" s="106"/>
    </row>
    <row r="84" spans="1:11" ht="12.75">
      <c r="A84" s="29"/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29"/>
      <c r="B85" s="124"/>
      <c r="C85" s="125"/>
      <c r="D85" s="106"/>
      <c r="E85" s="106">
        <f>200/13.3</f>
        <v>15.037593984962406</v>
      </c>
      <c r="F85" s="106"/>
      <c r="G85" s="106"/>
      <c r="H85" s="106"/>
      <c r="I85" s="106"/>
      <c r="J85" s="106"/>
      <c r="K85" s="106"/>
    </row>
    <row r="86" spans="1:11" ht="12.75">
      <c r="A86" s="29"/>
      <c r="B86" s="106"/>
      <c r="C86" s="114"/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29"/>
      <c r="B87" s="106"/>
      <c r="C87" s="114"/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29"/>
      <c r="B88" s="106"/>
      <c r="C88" s="114"/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15"/>
      <c r="B89" s="106"/>
      <c r="C89" s="114"/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15"/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15"/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15"/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15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35">
      <selection activeCell="J121" sqref="J121"/>
    </sheetView>
  </sheetViews>
  <sheetFormatPr defaultColWidth="11.00390625" defaultRowHeight="12.75"/>
  <cols>
    <col min="1" max="1" width="10.75390625" style="17" customWidth="1"/>
    <col min="2" max="2" width="10.75390625" style="9" customWidth="1"/>
    <col min="3" max="3" width="11.75390625" style="9" bestFit="1" customWidth="1"/>
    <col min="4" max="16384" width="10.75390625" style="9" customWidth="1"/>
  </cols>
  <sheetData>
    <row r="1" spans="1:3" s="75" customFormat="1" ht="12.75">
      <c r="A1" s="178" t="s">
        <v>116</v>
      </c>
      <c r="B1" s="75" t="s">
        <v>153</v>
      </c>
      <c r="C1" s="95">
        <v>20</v>
      </c>
    </row>
    <row r="2" spans="1:11" s="75" customFormat="1" ht="12.75">
      <c r="A2" s="105"/>
      <c r="I2" s="73"/>
      <c r="J2" s="73"/>
      <c r="K2" s="73"/>
    </row>
    <row r="3" spans="1:11" s="109" customFormat="1" ht="12.75">
      <c r="A3" s="110"/>
      <c r="C3" s="126" t="s">
        <v>212</v>
      </c>
      <c r="D3" s="142" t="s">
        <v>89</v>
      </c>
      <c r="E3" s="76" t="s">
        <v>90</v>
      </c>
      <c r="F3" s="76" t="s">
        <v>92</v>
      </c>
      <c r="G3" s="142" t="s">
        <v>91</v>
      </c>
      <c r="H3" s="106"/>
      <c r="I3" s="107"/>
      <c r="J3" s="107"/>
      <c r="K3" s="107"/>
    </row>
    <row r="4" spans="1:11" s="109" customFormat="1" ht="12.75">
      <c r="A4" s="110"/>
      <c r="B4" s="76"/>
      <c r="C4" s="96" t="s">
        <v>102</v>
      </c>
      <c r="D4" s="143">
        <v>9.5</v>
      </c>
      <c r="E4" s="143">
        <v>9.9</v>
      </c>
      <c r="F4" s="143">
        <v>14.2</v>
      </c>
      <c r="G4" s="143">
        <v>11.8</v>
      </c>
      <c r="H4" s="106"/>
      <c r="I4" s="107"/>
      <c r="J4" s="107"/>
      <c r="K4" s="107"/>
    </row>
    <row r="5" spans="1:13" s="75" customFormat="1" ht="12.75">
      <c r="A5" s="111"/>
      <c r="B5" s="109"/>
      <c r="C5" s="115" t="s">
        <v>103</v>
      </c>
      <c r="D5" s="143">
        <v>11.2</v>
      </c>
      <c r="E5" s="143">
        <v>7.6</v>
      </c>
      <c r="F5" s="143">
        <v>13.2</v>
      </c>
      <c r="G5" s="143">
        <v>16.9</v>
      </c>
      <c r="H5" s="112"/>
      <c r="I5" s="73"/>
      <c r="J5" s="141"/>
      <c r="K5" s="141"/>
      <c r="L5" s="141"/>
      <c r="M5" s="141"/>
    </row>
    <row r="6" spans="1:13" s="109" customFormat="1" ht="12.75">
      <c r="A6" s="76"/>
      <c r="C6" s="115" t="s">
        <v>104</v>
      </c>
      <c r="D6" s="143">
        <v>12.9</v>
      </c>
      <c r="E6" s="143">
        <v>16.7</v>
      </c>
      <c r="F6" s="143">
        <v>13.3</v>
      </c>
      <c r="G6" s="143">
        <v>16.5</v>
      </c>
      <c r="H6" s="114"/>
      <c r="I6" s="107"/>
      <c r="J6" s="141"/>
      <c r="K6" s="141"/>
      <c r="L6" s="141"/>
      <c r="M6" s="141"/>
    </row>
    <row r="7" spans="1:13" s="109" customFormat="1" ht="12.75">
      <c r="A7" s="115"/>
      <c r="B7" s="75"/>
      <c r="H7" s="114"/>
      <c r="I7" s="107"/>
      <c r="J7" s="141"/>
      <c r="K7" s="141"/>
      <c r="L7" s="141"/>
      <c r="M7" s="141"/>
    </row>
    <row r="8" spans="1:11" s="109" customFormat="1" ht="12.75">
      <c r="A8" s="115"/>
      <c r="B8" s="113"/>
      <c r="C8" s="113"/>
      <c r="D8" s="113"/>
      <c r="E8" s="113"/>
      <c r="F8" s="113"/>
      <c r="G8" s="106"/>
      <c r="H8" s="114"/>
      <c r="I8" s="107"/>
      <c r="J8" s="107"/>
      <c r="K8" s="107"/>
    </row>
    <row r="9" spans="1:11" s="109" customFormat="1" ht="12.75">
      <c r="A9" s="115"/>
      <c r="B9" s="113"/>
      <c r="C9" s="113"/>
      <c r="D9" s="196"/>
      <c r="E9" s="196"/>
      <c r="F9" s="196"/>
      <c r="G9" s="115"/>
      <c r="H9" s="114"/>
      <c r="I9" s="107"/>
      <c r="J9" s="107"/>
      <c r="K9" s="107"/>
    </row>
    <row r="10" spans="1:12" s="109" customFormat="1" ht="12.75">
      <c r="A10" s="115"/>
      <c r="B10" s="113"/>
      <c r="C10" s="126" t="s">
        <v>211</v>
      </c>
      <c r="D10" s="142" t="s">
        <v>89</v>
      </c>
      <c r="E10" s="76" t="s">
        <v>90</v>
      </c>
      <c r="F10" s="76" t="s">
        <v>92</v>
      </c>
      <c r="G10" s="142" t="s">
        <v>91</v>
      </c>
      <c r="H10" s="106" t="s">
        <v>107</v>
      </c>
      <c r="I10" s="106"/>
      <c r="J10" s="106"/>
      <c r="K10" s="106"/>
      <c r="L10" s="116"/>
    </row>
    <row r="11" spans="1:8" s="109" customFormat="1" ht="12.75">
      <c r="A11" s="115"/>
      <c r="B11" s="106"/>
      <c r="C11" s="106"/>
      <c r="D11" s="122">
        <f aca="true" t="shared" si="0" ref="D11:G13">D4*$C$1</f>
        <v>190</v>
      </c>
      <c r="E11" s="122">
        <f t="shared" si="0"/>
        <v>198</v>
      </c>
      <c r="F11" s="122">
        <f t="shared" si="0"/>
        <v>284</v>
      </c>
      <c r="G11" s="122">
        <f t="shared" si="0"/>
        <v>236</v>
      </c>
      <c r="H11" s="139">
        <f>SUM(D11:G11)</f>
        <v>908</v>
      </c>
    </row>
    <row r="12" spans="1:8" s="109" customFormat="1" ht="12.75">
      <c r="A12" s="115"/>
      <c r="B12" s="117"/>
      <c r="C12" s="106"/>
      <c r="D12" s="122">
        <f t="shared" si="0"/>
        <v>224</v>
      </c>
      <c r="E12" s="122">
        <f t="shared" si="0"/>
        <v>152</v>
      </c>
      <c r="F12" s="122">
        <f t="shared" si="0"/>
        <v>264</v>
      </c>
      <c r="G12" s="122">
        <f t="shared" si="0"/>
        <v>338</v>
      </c>
      <c r="H12" s="139">
        <f>SUM(D12:G12)</f>
        <v>978</v>
      </c>
    </row>
    <row r="13" spans="1:8" s="109" customFormat="1" ht="12.75">
      <c r="A13" s="115"/>
      <c r="B13" s="117"/>
      <c r="C13" s="106"/>
      <c r="D13" s="122">
        <f t="shared" si="0"/>
        <v>258</v>
      </c>
      <c r="E13" s="122">
        <f t="shared" si="0"/>
        <v>334</v>
      </c>
      <c r="F13" s="122">
        <f t="shared" si="0"/>
        <v>266</v>
      </c>
      <c r="G13" s="122">
        <f t="shared" si="0"/>
        <v>330</v>
      </c>
      <c r="H13" s="139">
        <f>SUM(D13:G13)</f>
        <v>1188</v>
      </c>
    </row>
    <row r="14" spans="1:11" s="109" customFormat="1" ht="12.75">
      <c r="A14" s="115"/>
      <c r="B14" s="117"/>
      <c r="C14" s="106"/>
      <c r="D14" s="122"/>
      <c r="E14" s="122"/>
      <c r="F14" s="122"/>
      <c r="G14" s="122"/>
      <c r="H14" s="122"/>
      <c r="I14" s="106"/>
      <c r="J14" s="106"/>
      <c r="K14" s="106"/>
    </row>
    <row r="15" spans="1:9" s="109" customFormat="1" ht="12.75">
      <c r="A15" s="115"/>
      <c r="B15" s="106"/>
      <c r="C15" s="106" t="s">
        <v>106</v>
      </c>
      <c r="D15" s="122">
        <f>SUM(D11:D13)</f>
        <v>672</v>
      </c>
      <c r="E15" s="122">
        <f>SUM(E11:E13)</f>
        <v>684</v>
      </c>
      <c r="F15" s="122">
        <f>SUM(F11:F13)</f>
        <v>814</v>
      </c>
      <c r="G15" s="122">
        <f>SUM(G11:G13)</f>
        <v>904</v>
      </c>
      <c r="H15" s="140">
        <f>SUM(H11:H13)</f>
        <v>3074</v>
      </c>
      <c r="I15" s="109" t="s">
        <v>160</v>
      </c>
    </row>
    <row r="16" spans="1:9" s="75" customFormat="1" ht="12.75">
      <c r="A16" s="115"/>
      <c r="B16" s="119"/>
      <c r="C16" s="106"/>
      <c r="D16" s="112"/>
      <c r="E16" s="73"/>
      <c r="F16" s="73"/>
      <c r="G16" s="73"/>
      <c r="H16" s="127">
        <f>C1*12</f>
        <v>240</v>
      </c>
      <c r="I16" s="75" t="s">
        <v>213</v>
      </c>
    </row>
    <row r="17" spans="1:11" s="109" customFormat="1" ht="12.75">
      <c r="A17" s="115"/>
      <c r="B17" s="118"/>
      <c r="C17" s="106"/>
      <c r="D17" s="110"/>
      <c r="E17" s="120"/>
      <c r="F17" s="120"/>
      <c r="G17" s="120"/>
      <c r="H17" s="128">
        <f>H15^2/H16</f>
        <v>39372.816666666666</v>
      </c>
      <c r="I17" s="121" t="s">
        <v>214</v>
      </c>
      <c r="J17" s="113"/>
      <c r="K17" s="113"/>
    </row>
    <row r="18" spans="1:11" s="109" customFormat="1" ht="12.75">
      <c r="A18" s="115"/>
      <c r="B18" s="118"/>
      <c r="C18" s="106"/>
      <c r="D18" s="110"/>
      <c r="E18" s="120"/>
      <c r="F18" s="120"/>
      <c r="G18" s="120"/>
      <c r="H18" s="128"/>
      <c r="I18" s="121"/>
      <c r="J18" s="113"/>
      <c r="K18" s="113"/>
    </row>
    <row r="19" spans="1:11" s="109" customFormat="1" ht="12.75">
      <c r="A19" s="111"/>
      <c r="B19" s="106"/>
      <c r="C19" s="114"/>
      <c r="D19" s="106"/>
      <c r="E19" s="106"/>
      <c r="F19" s="106"/>
      <c r="G19" s="106"/>
      <c r="H19" s="106"/>
      <c r="I19" s="106"/>
      <c r="J19" s="106"/>
      <c r="K19" s="106"/>
    </row>
    <row r="20" spans="1:11" s="109" customFormat="1" ht="12.75">
      <c r="A20" s="115" t="s">
        <v>123</v>
      </c>
      <c r="B20" s="106"/>
      <c r="C20" s="115" t="s">
        <v>108</v>
      </c>
      <c r="D20" s="115" t="s">
        <v>119</v>
      </c>
      <c r="E20" s="110" t="s">
        <v>154</v>
      </c>
      <c r="F20" s="133" t="s">
        <v>206</v>
      </c>
      <c r="G20" s="133" t="s">
        <v>207</v>
      </c>
      <c r="H20" s="133" t="s">
        <v>208</v>
      </c>
      <c r="I20" s="121"/>
      <c r="J20" s="113"/>
      <c r="K20" s="113"/>
    </row>
    <row r="21" spans="1:11" s="109" customFormat="1" ht="13.5" thickBot="1">
      <c r="A21" s="115"/>
      <c r="B21" s="129" t="s">
        <v>209</v>
      </c>
      <c r="C21" s="122">
        <f>SUMSQ(D11:G13)</f>
        <v>826652</v>
      </c>
      <c r="D21" s="115">
        <f>C21/C1-$H$17</f>
        <v>1959.7833333333328</v>
      </c>
      <c r="E21" s="132">
        <v>11</v>
      </c>
      <c r="F21" s="120"/>
      <c r="G21" s="120"/>
      <c r="H21" s="120"/>
      <c r="I21" s="121"/>
      <c r="J21" s="113"/>
      <c r="K21" s="113"/>
    </row>
    <row r="22" spans="1:11" s="109" customFormat="1" ht="12.75">
      <c r="A22" s="115"/>
      <c r="B22" s="179" t="s">
        <v>109</v>
      </c>
      <c r="C22" s="180">
        <f>SUMSQ(D15:G15)</f>
        <v>2399252</v>
      </c>
      <c r="D22" s="181">
        <f>C22/(C1*3)-$H$17</f>
        <v>614.7166666666672</v>
      </c>
      <c r="E22" s="182">
        <v>3</v>
      </c>
      <c r="F22" s="183">
        <f>D22/E22</f>
        <v>204.9055555555557</v>
      </c>
      <c r="G22" s="183">
        <f>F22/$F$25</f>
        <v>40.98111111111114</v>
      </c>
      <c r="H22" s="184">
        <f>FINV(0.05,E22,$E$25)</f>
        <v>2.644194493375707</v>
      </c>
      <c r="I22" s="121"/>
      <c r="J22" s="113"/>
      <c r="K22" s="113"/>
    </row>
    <row r="23" spans="1:11" s="109" customFormat="1" ht="12.75">
      <c r="A23" s="115"/>
      <c r="B23" s="185" t="s">
        <v>110</v>
      </c>
      <c r="C23" s="122">
        <f>SUMSQ(H11:H13)</f>
        <v>3192292</v>
      </c>
      <c r="D23" s="115">
        <f>C23/(C1*4)-$H$17</f>
        <v>530.8333333333358</v>
      </c>
      <c r="E23" s="131">
        <v>2</v>
      </c>
      <c r="F23" s="120">
        <f>D23/E23</f>
        <v>265.4166666666679</v>
      </c>
      <c r="G23" s="120">
        <f>F23/$F$25</f>
        <v>53.08333333333358</v>
      </c>
      <c r="H23" s="186">
        <f>FINV(0.05,E23,$E$25)</f>
        <v>3.0354407908960965</v>
      </c>
      <c r="I23" s="121"/>
      <c r="J23" s="106"/>
      <c r="K23" s="106"/>
    </row>
    <row r="24" spans="1:11" s="109" customFormat="1" ht="12.75">
      <c r="A24" s="115"/>
      <c r="B24" s="187" t="s">
        <v>111</v>
      </c>
      <c r="C24" s="106"/>
      <c r="D24" s="109">
        <f>D21-(D22+D23)</f>
        <v>814.2333333333299</v>
      </c>
      <c r="E24" s="132">
        <f>E22*E23</f>
        <v>6</v>
      </c>
      <c r="F24" s="120">
        <f>D24/E24</f>
        <v>135.70555555555498</v>
      </c>
      <c r="G24" s="120">
        <f>F24/$F$25</f>
        <v>27.141111111110995</v>
      </c>
      <c r="H24" s="186">
        <f>FINV(0.05,E24,$E$25)</f>
        <v>2.1384907582883965</v>
      </c>
      <c r="J24" s="106"/>
      <c r="K24" s="106"/>
    </row>
    <row r="25" spans="1:11" s="109" customFormat="1" ht="13.5" thickBot="1">
      <c r="A25" s="115"/>
      <c r="B25" s="188" t="s">
        <v>210</v>
      </c>
      <c r="C25" s="189">
        <f>D25+C21/C1</f>
        <v>42472.6</v>
      </c>
      <c r="D25" s="189">
        <f>F25*E25</f>
        <v>1140</v>
      </c>
      <c r="E25" s="190">
        <f>12*(C1-1)</f>
        <v>228</v>
      </c>
      <c r="F25" s="189">
        <v>5</v>
      </c>
      <c r="G25" s="189"/>
      <c r="H25" s="191"/>
      <c r="I25" s="106"/>
      <c r="J25" s="106"/>
      <c r="K25" s="106"/>
    </row>
    <row r="26" spans="1:11" s="109" customFormat="1" ht="12.75">
      <c r="A26" s="115"/>
      <c r="B26" s="106" t="s">
        <v>117</v>
      </c>
      <c r="C26" s="106"/>
      <c r="D26" s="106">
        <f>D21+D25</f>
        <v>3099.783333333333</v>
      </c>
      <c r="E26" s="106">
        <f>E21+E25</f>
        <v>239</v>
      </c>
      <c r="F26" s="106"/>
      <c r="G26" s="106"/>
      <c r="H26" s="106"/>
      <c r="I26" s="106"/>
      <c r="J26" s="106"/>
      <c r="K26" s="106"/>
    </row>
    <row r="27" spans="1:11" s="109" customFormat="1" ht="12.75">
      <c r="A27" s="111"/>
      <c r="B27" s="106"/>
      <c r="C27" s="117"/>
      <c r="D27" s="114"/>
      <c r="E27" s="114"/>
      <c r="F27" s="114"/>
      <c r="G27" s="114"/>
      <c r="H27" s="114"/>
      <c r="I27" s="106"/>
      <c r="J27" s="106"/>
      <c r="K27" s="106"/>
    </row>
    <row r="28" spans="1:6" ht="12.75">
      <c r="A28" s="25"/>
      <c r="F28" s="31"/>
    </row>
    <row r="29" spans="1:6" ht="12.75">
      <c r="A29" s="25" t="s">
        <v>125</v>
      </c>
      <c r="B29" s="9" t="s">
        <v>225</v>
      </c>
      <c r="C29" s="31">
        <f>SUMSQ(D11:G11)</f>
        <v>211656</v>
      </c>
      <c r="F29" s="31"/>
    </row>
    <row r="30" spans="1:6" ht="12.75">
      <c r="A30" s="25"/>
      <c r="B30" s="9" t="s">
        <v>226</v>
      </c>
      <c r="C30" s="31">
        <f>SUMSQ(D12:G12)</f>
        <v>257220</v>
      </c>
      <c r="F30" s="31"/>
    </row>
    <row r="31" spans="1:6" ht="12.75">
      <c r="A31" s="25"/>
      <c r="F31" s="31"/>
    </row>
    <row r="32" spans="1:6" ht="12.75">
      <c r="A32" s="25"/>
      <c r="F32" s="31"/>
    </row>
    <row r="33" spans="1:6" ht="12.75">
      <c r="A33" s="25"/>
      <c r="B33" s="9" t="s">
        <v>227</v>
      </c>
      <c r="C33" s="31">
        <f>C21-(C29+C30)</f>
        <v>357776</v>
      </c>
      <c r="F33" s="31"/>
    </row>
    <row r="34" spans="1:6" ht="12.75">
      <c r="A34" s="25"/>
      <c r="F34" s="31"/>
    </row>
    <row r="35" spans="1:6" ht="12.75">
      <c r="A35" s="25"/>
      <c r="B35" s="9" t="s">
        <v>81</v>
      </c>
      <c r="C35" s="31">
        <f>C33/C1-H13^2/(C1*4)</f>
        <v>247</v>
      </c>
      <c r="F35" s="31"/>
    </row>
    <row r="36" spans="1:6" ht="12.75">
      <c r="A36" s="25"/>
      <c r="B36" s="9" t="s">
        <v>33</v>
      </c>
      <c r="C36" s="31">
        <v>3</v>
      </c>
      <c r="F36" s="31"/>
    </row>
    <row r="37" spans="1:6" ht="12.75">
      <c r="A37" s="25"/>
      <c r="B37" s="192" t="s">
        <v>0</v>
      </c>
      <c r="C37" s="38">
        <f>C35/C36</f>
        <v>82.33333333333333</v>
      </c>
      <c r="F37" s="31"/>
    </row>
    <row r="38" spans="1:3" ht="13.5" thickBot="1">
      <c r="A38" s="25"/>
      <c r="B38" s="192" t="s">
        <v>1</v>
      </c>
      <c r="C38" s="9">
        <f>F25</f>
        <v>5</v>
      </c>
    </row>
    <row r="39" spans="1:3" ht="12.75">
      <c r="A39" s="25"/>
      <c r="B39" s="194" t="s">
        <v>2</v>
      </c>
      <c r="C39" s="34">
        <f>C37/C38</f>
        <v>16.466666666666665</v>
      </c>
    </row>
    <row r="40" spans="2:3" ht="13.5" thickBot="1">
      <c r="B40" s="195" t="s">
        <v>208</v>
      </c>
      <c r="C40" s="11">
        <f>H22</f>
        <v>2.644194493375707</v>
      </c>
    </row>
    <row r="41" ht="12.75">
      <c r="B41" s="31"/>
    </row>
    <row r="42" spans="1:3" ht="12.75">
      <c r="A42" s="17" t="s">
        <v>126</v>
      </c>
      <c r="B42" s="31" t="s">
        <v>161</v>
      </c>
      <c r="C42" s="38">
        <f>H15/H16</f>
        <v>12.808333333333334</v>
      </c>
    </row>
    <row r="43" spans="2:3" ht="12.75">
      <c r="B43" s="31" t="s">
        <v>17</v>
      </c>
      <c r="C43" s="38">
        <f>SQRT(F25/(C1*12))</f>
        <v>0.14433756729740643</v>
      </c>
    </row>
    <row r="44" spans="2:3" ht="13.5" thickBot="1">
      <c r="B44" s="31" t="s">
        <v>224</v>
      </c>
      <c r="C44" s="38">
        <f>TINV(0.05,E25)</f>
        <v>1.9704231427019248</v>
      </c>
    </row>
    <row r="45" spans="2:3" ht="13.5" thickBot="1">
      <c r="B45" s="48" t="s">
        <v>82</v>
      </c>
      <c r="C45" s="45">
        <f>C43*C44</f>
        <v>0.28440608296410613</v>
      </c>
    </row>
    <row r="46" spans="2:4" ht="12.75">
      <c r="B46" s="31"/>
      <c r="C46" s="38"/>
      <c r="D46" s="38"/>
    </row>
    <row r="47" spans="1:4" ht="12.75">
      <c r="A47" s="17" t="s">
        <v>128</v>
      </c>
      <c r="B47" s="193" t="s">
        <v>3</v>
      </c>
      <c r="C47" s="31">
        <v>11000</v>
      </c>
      <c r="D47" s="38"/>
    </row>
    <row r="48" spans="2:4" ht="12.75">
      <c r="B48" s="9" t="s">
        <v>225</v>
      </c>
      <c r="C48" s="31">
        <f>C29</f>
        <v>211656</v>
      </c>
      <c r="D48" s="38"/>
    </row>
    <row r="49" spans="3:4" ht="12.75">
      <c r="C49" s="38"/>
      <c r="D49" s="38"/>
    </row>
    <row r="50" spans="2:4" ht="12.75">
      <c r="B50" s="31" t="s">
        <v>4</v>
      </c>
      <c r="C50" s="38">
        <f>C47-C48/C1</f>
        <v>417.2000000000007</v>
      </c>
      <c r="D50" s="38"/>
    </row>
    <row r="51" spans="2:4" ht="12.75">
      <c r="B51" s="31" t="s">
        <v>5</v>
      </c>
      <c r="C51" s="38">
        <f>C50/76</f>
        <v>5.489473684210536</v>
      </c>
      <c r="D51" s="38"/>
    </row>
    <row r="52" spans="2:4" ht="12.75">
      <c r="B52" s="31"/>
      <c r="C52" s="38"/>
      <c r="D52" s="38"/>
    </row>
    <row r="53" spans="2:3" ht="12.75">
      <c r="B53" s="193" t="s">
        <v>17</v>
      </c>
      <c r="C53" s="38">
        <f>SQRT(C51/C1)</f>
        <v>0.5239023613332228</v>
      </c>
    </row>
    <row r="54" spans="2:3" ht="12.75">
      <c r="B54" s="193" t="s">
        <v>154</v>
      </c>
      <c r="C54" s="31">
        <f>(C1-1)*4</f>
        <v>76</v>
      </c>
    </row>
    <row r="55" spans="2:3" ht="13.5" thickBot="1">
      <c r="B55" s="193" t="s">
        <v>134</v>
      </c>
      <c r="C55" s="38">
        <f>TINV(0.05,C54)</f>
        <v>1.9916725785505602</v>
      </c>
    </row>
    <row r="56" spans="2:6" ht="13.5" thickBot="1">
      <c r="B56" s="48" t="s">
        <v>135</v>
      </c>
      <c r="C56" s="45">
        <f>C53*C55</f>
        <v>1.043441966905267</v>
      </c>
      <c r="F56" s="38"/>
    </row>
    <row r="59" spans="1:8" ht="12.75">
      <c r="A59" s="197" t="s">
        <v>158</v>
      </c>
      <c r="B59" s="4" t="s">
        <v>228</v>
      </c>
      <c r="C59" s="4" t="s">
        <v>229</v>
      </c>
      <c r="D59" s="4" t="s">
        <v>6</v>
      </c>
      <c r="E59" s="4" t="s">
        <v>7</v>
      </c>
      <c r="F59" s="4" t="s">
        <v>137</v>
      </c>
      <c r="G59" s="4" t="s">
        <v>8</v>
      </c>
      <c r="H59" s="4" t="s">
        <v>9</v>
      </c>
    </row>
    <row r="60" spans="2:8" ht="12.75">
      <c r="B60" s="4">
        <f>COUNT(C64:C73)</f>
        <v>10</v>
      </c>
      <c r="C60" s="4">
        <v>1</v>
      </c>
      <c r="D60" s="4">
        <f>B60*C60</f>
        <v>10</v>
      </c>
      <c r="E60" s="4">
        <f>4*C60</f>
        <v>4</v>
      </c>
      <c r="F60" s="40">
        <v>10</v>
      </c>
      <c r="G60" s="40">
        <v>1</v>
      </c>
      <c r="H60" s="3">
        <v>45</v>
      </c>
    </row>
    <row r="61" ht="12.75">
      <c r="K61" s="41" t="s">
        <v>10</v>
      </c>
    </row>
    <row r="62" spans="2:16" ht="12.75">
      <c r="B62" s="41" t="s">
        <v>212</v>
      </c>
      <c r="D62" s="4"/>
      <c r="E62" s="4"/>
      <c r="F62" s="4"/>
      <c r="G62" s="4"/>
      <c r="M62" s="40">
        <v>-1</v>
      </c>
      <c r="N62" s="40">
        <v>-1</v>
      </c>
      <c r="O62" s="40">
        <v>0</v>
      </c>
      <c r="P62" s="40">
        <v>0</v>
      </c>
    </row>
    <row r="63" spans="2:17" ht="12.75">
      <c r="B63" t="s">
        <v>138</v>
      </c>
      <c r="C63" s="198" t="s">
        <v>12</v>
      </c>
      <c r="D63" s="198" t="s">
        <v>13</v>
      </c>
      <c r="E63" s="198" t="s">
        <v>15</v>
      </c>
      <c r="F63" s="199" t="s">
        <v>14</v>
      </c>
      <c r="G63" s="200" t="s">
        <v>139</v>
      </c>
      <c r="H63" s="9"/>
      <c r="K63" t="s">
        <v>138</v>
      </c>
      <c r="L63" t="s">
        <v>11</v>
      </c>
      <c r="M63" s="198" t="s">
        <v>12</v>
      </c>
      <c r="N63" s="198" t="s">
        <v>13</v>
      </c>
      <c r="O63" s="198" t="s">
        <v>15</v>
      </c>
      <c r="P63" s="198" t="s">
        <v>14</v>
      </c>
      <c r="Q63" s="200"/>
    </row>
    <row r="64" spans="2:17" ht="12.75">
      <c r="B64" s="5">
        <v>1</v>
      </c>
      <c r="C64" s="5">
        <v>44</v>
      </c>
      <c r="D64" s="5">
        <v>45</v>
      </c>
      <c r="E64" s="5">
        <v>45</v>
      </c>
      <c r="F64" s="201">
        <v>43</v>
      </c>
      <c r="G64" s="204">
        <f>AVERAGE(C64:F64)</f>
        <v>44.25</v>
      </c>
      <c r="H64" s="9"/>
      <c r="K64" s="5">
        <v>1</v>
      </c>
      <c r="L64" s="5">
        <f ca="1">ROUND(NORMSINV(RAND())*$F$60,0)</f>
        <v>1</v>
      </c>
      <c r="M64" s="5">
        <f aca="true" ca="1" t="shared" si="1" ref="M64:M73">ROUND($H$60+M$62+$L64+NORMSINV(RAND())*$G$60,0)</f>
        <v>46</v>
      </c>
      <c r="N64" s="5">
        <f aca="true" ca="1" t="shared" si="2" ref="N64:P73">ROUND($H$60+N$62+$L64+NORMSINV(RAND())*$G$60,0)</f>
        <v>45</v>
      </c>
      <c r="O64" s="5">
        <f ca="1" t="shared" si="2"/>
        <v>47</v>
      </c>
      <c r="P64" s="5">
        <f ca="1" t="shared" si="2"/>
        <v>48</v>
      </c>
      <c r="Q64" s="193"/>
    </row>
    <row r="65" spans="2:17" ht="12.75">
      <c r="B65" s="5">
        <v>2</v>
      </c>
      <c r="C65" s="5">
        <v>53</v>
      </c>
      <c r="D65" s="5">
        <v>54</v>
      </c>
      <c r="E65" s="5">
        <v>53</v>
      </c>
      <c r="F65" s="201">
        <v>55</v>
      </c>
      <c r="G65" s="204">
        <f aca="true" t="shared" si="3" ref="G65:G73">AVERAGE(C65:F65)</f>
        <v>53.75</v>
      </c>
      <c r="H65" s="9"/>
      <c r="K65" s="5">
        <v>2</v>
      </c>
      <c r="L65" s="5">
        <f aca="true" ca="1" t="shared" si="4" ref="L65:L73">ROUND(NORMSINV(RAND())*$F$60,0)</f>
        <v>5</v>
      </c>
      <c r="M65" s="5">
        <f ca="1" t="shared" si="1"/>
        <v>49</v>
      </c>
      <c r="N65" s="5">
        <f ca="1" t="shared" si="2"/>
        <v>50</v>
      </c>
      <c r="O65" s="5">
        <f ca="1" t="shared" si="2"/>
        <v>51</v>
      </c>
      <c r="P65" s="5">
        <f ca="1" t="shared" si="2"/>
        <v>49</v>
      </c>
      <c r="Q65" s="193"/>
    </row>
    <row r="66" spans="2:17" ht="12.75">
      <c r="B66" s="5">
        <v>3</v>
      </c>
      <c r="C66" s="5">
        <v>50</v>
      </c>
      <c r="D66" s="5">
        <v>51</v>
      </c>
      <c r="E66" s="5">
        <v>52</v>
      </c>
      <c r="F66" s="201">
        <v>51</v>
      </c>
      <c r="G66" s="204">
        <f t="shared" si="3"/>
        <v>51</v>
      </c>
      <c r="H66" s="9"/>
      <c r="K66" s="5">
        <v>3</v>
      </c>
      <c r="L66" s="5">
        <f ca="1" t="shared" si="4"/>
        <v>-16</v>
      </c>
      <c r="M66" s="5">
        <f ca="1" t="shared" si="1"/>
        <v>28</v>
      </c>
      <c r="N66" s="5">
        <f ca="1" t="shared" si="2"/>
        <v>29</v>
      </c>
      <c r="O66" s="5">
        <f ca="1" t="shared" si="2"/>
        <v>29</v>
      </c>
      <c r="P66" s="5">
        <f ca="1" t="shared" si="2"/>
        <v>29</v>
      </c>
      <c r="Q66" s="193"/>
    </row>
    <row r="67" spans="2:17" ht="12.75">
      <c r="B67" s="5">
        <v>4</v>
      </c>
      <c r="C67" s="5">
        <v>58</v>
      </c>
      <c r="D67" s="5">
        <v>58</v>
      </c>
      <c r="E67" s="5">
        <v>59</v>
      </c>
      <c r="F67" s="201">
        <v>59</v>
      </c>
      <c r="G67" s="204">
        <f t="shared" si="3"/>
        <v>58.5</v>
      </c>
      <c r="H67" s="9"/>
      <c r="K67" s="5">
        <v>4</v>
      </c>
      <c r="L67" s="5">
        <f ca="1" t="shared" si="4"/>
        <v>8</v>
      </c>
      <c r="M67" s="5">
        <f ca="1" t="shared" si="1"/>
        <v>52</v>
      </c>
      <c r="N67" s="5">
        <f ca="1" t="shared" si="2"/>
        <v>53</v>
      </c>
      <c r="O67" s="5">
        <f ca="1" t="shared" si="2"/>
        <v>53</v>
      </c>
      <c r="P67" s="5">
        <f ca="1" t="shared" si="2"/>
        <v>54</v>
      </c>
      <c r="Q67" s="193"/>
    </row>
    <row r="68" spans="2:17" ht="12.75">
      <c r="B68" s="5">
        <v>5</v>
      </c>
      <c r="C68" s="5">
        <v>61</v>
      </c>
      <c r="D68" s="5">
        <v>64</v>
      </c>
      <c r="E68" s="5">
        <v>64</v>
      </c>
      <c r="F68" s="201">
        <v>63</v>
      </c>
      <c r="G68" s="204">
        <f t="shared" si="3"/>
        <v>63</v>
      </c>
      <c r="H68" s="9"/>
      <c r="K68" s="5">
        <v>5</v>
      </c>
      <c r="L68" s="5">
        <f ca="1" t="shared" si="4"/>
        <v>12</v>
      </c>
      <c r="M68" s="5">
        <f ca="1" t="shared" si="1"/>
        <v>56</v>
      </c>
      <c r="N68" s="5">
        <f ca="1" t="shared" si="2"/>
        <v>57</v>
      </c>
      <c r="O68" s="5">
        <f ca="1" t="shared" si="2"/>
        <v>57</v>
      </c>
      <c r="P68" s="5">
        <f ca="1" t="shared" si="2"/>
        <v>58</v>
      </c>
      <c r="Q68" s="193"/>
    </row>
    <row r="69" spans="2:17" ht="12.75">
      <c r="B69" s="5">
        <v>6</v>
      </c>
      <c r="C69" s="5">
        <v>25</v>
      </c>
      <c r="D69" s="5">
        <v>27</v>
      </c>
      <c r="E69" s="5">
        <v>29</v>
      </c>
      <c r="F69" s="201">
        <v>27</v>
      </c>
      <c r="G69" s="204">
        <f t="shared" si="3"/>
        <v>27</v>
      </c>
      <c r="H69" s="9"/>
      <c r="K69" s="5">
        <v>6</v>
      </c>
      <c r="L69" s="5">
        <f ca="1" t="shared" si="4"/>
        <v>16</v>
      </c>
      <c r="M69" s="5">
        <f ca="1" t="shared" si="1"/>
        <v>61</v>
      </c>
      <c r="N69" s="5">
        <f ca="1" t="shared" si="2"/>
        <v>60</v>
      </c>
      <c r="O69" s="5">
        <f ca="1" t="shared" si="2"/>
        <v>59</v>
      </c>
      <c r="P69" s="5">
        <f ca="1" t="shared" si="2"/>
        <v>60</v>
      </c>
      <c r="Q69" s="193"/>
    </row>
    <row r="70" spans="2:17" ht="12.75">
      <c r="B70" s="5">
        <v>7</v>
      </c>
      <c r="C70" s="5">
        <v>39</v>
      </c>
      <c r="D70" s="5">
        <v>38</v>
      </c>
      <c r="E70" s="5">
        <v>40</v>
      </c>
      <c r="F70" s="201">
        <v>41</v>
      </c>
      <c r="G70" s="204">
        <f t="shared" si="3"/>
        <v>39.5</v>
      </c>
      <c r="H70" s="9"/>
      <c r="K70" s="5">
        <v>7</v>
      </c>
      <c r="L70" s="5">
        <f ca="1" t="shared" si="4"/>
        <v>4</v>
      </c>
      <c r="M70" s="5">
        <f ca="1" t="shared" si="1"/>
        <v>48</v>
      </c>
      <c r="N70" s="5">
        <f ca="1" t="shared" si="2"/>
        <v>47</v>
      </c>
      <c r="O70" s="5">
        <f ca="1" t="shared" si="2"/>
        <v>49</v>
      </c>
      <c r="P70" s="5">
        <f ca="1" t="shared" si="2"/>
        <v>46</v>
      </c>
      <c r="Q70" s="193"/>
    </row>
    <row r="71" spans="2:17" ht="12.75">
      <c r="B71" s="5">
        <v>8</v>
      </c>
      <c r="C71" s="5">
        <v>50</v>
      </c>
      <c r="D71" s="5">
        <v>48</v>
      </c>
      <c r="E71" s="5">
        <v>48</v>
      </c>
      <c r="F71" s="201">
        <v>49</v>
      </c>
      <c r="G71" s="204">
        <f t="shared" si="3"/>
        <v>48.75</v>
      </c>
      <c r="H71" s="9"/>
      <c r="K71" s="5">
        <v>8</v>
      </c>
      <c r="L71" s="5">
        <f ca="1" t="shared" si="4"/>
        <v>-6</v>
      </c>
      <c r="M71" s="5">
        <f ca="1" t="shared" si="1"/>
        <v>37</v>
      </c>
      <c r="N71" s="5">
        <f ca="1" t="shared" si="2"/>
        <v>38</v>
      </c>
      <c r="O71" s="5">
        <f ca="1" t="shared" si="2"/>
        <v>40</v>
      </c>
      <c r="P71" s="5">
        <f ca="1" t="shared" si="2"/>
        <v>39</v>
      </c>
      <c r="Q71" s="193"/>
    </row>
    <row r="72" spans="2:17" ht="12.75">
      <c r="B72" s="5">
        <v>9</v>
      </c>
      <c r="C72" s="5">
        <v>53</v>
      </c>
      <c r="D72" s="5">
        <v>53</v>
      </c>
      <c r="E72" s="5">
        <v>53</v>
      </c>
      <c r="F72" s="201">
        <v>54</v>
      </c>
      <c r="G72" s="204">
        <f t="shared" si="3"/>
        <v>53.25</v>
      </c>
      <c r="H72" s="9"/>
      <c r="K72" s="5">
        <v>9</v>
      </c>
      <c r="L72" s="5">
        <f ca="1" t="shared" si="4"/>
        <v>2</v>
      </c>
      <c r="M72" s="5">
        <f ca="1" t="shared" si="1"/>
        <v>47</v>
      </c>
      <c r="N72" s="5">
        <f ca="1" t="shared" si="2"/>
        <v>47</v>
      </c>
      <c r="O72" s="5">
        <f ca="1" t="shared" si="2"/>
        <v>46</v>
      </c>
      <c r="P72" s="5">
        <f ca="1" t="shared" si="2"/>
        <v>50</v>
      </c>
      <c r="Q72" s="193"/>
    </row>
    <row r="73" spans="2:17" ht="12.75">
      <c r="B73" s="202">
        <v>10</v>
      </c>
      <c r="C73" s="202">
        <v>38</v>
      </c>
      <c r="D73" s="202">
        <v>38</v>
      </c>
      <c r="E73" s="202">
        <v>41</v>
      </c>
      <c r="F73" s="203">
        <v>39</v>
      </c>
      <c r="G73" s="213">
        <f t="shared" si="3"/>
        <v>39</v>
      </c>
      <c r="K73" s="5">
        <v>10</v>
      </c>
      <c r="L73" s="5">
        <f ca="1" t="shared" si="4"/>
        <v>-7</v>
      </c>
      <c r="M73" s="5">
        <f ca="1" t="shared" si="1"/>
        <v>38</v>
      </c>
      <c r="N73" s="5">
        <f ca="1" t="shared" si="2"/>
        <v>36</v>
      </c>
      <c r="O73" s="5">
        <f ca="1" t="shared" si="2"/>
        <v>37</v>
      </c>
      <c r="P73" s="5">
        <f ca="1" t="shared" si="2"/>
        <v>38</v>
      </c>
      <c r="Q73" s="193"/>
    </row>
    <row r="74" spans="2:17" ht="12.75">
      <c r="B74" s="2" t="s">
        <v>140</v>
      </c>
      <c r="C74" s="212">
        <f>AVERAGE(C64:C73)</f>
        <v>47.1</v>
      </c>
      <c r="D74" s="212">
        <f>AVERAGE(D64:D73)</f>
        <v>47.6</v>
      </c>
      <c r="E74" s="212">
        <f>AVERAGE(E64:E73)</f>
        <v>48.4</v>
      </c>
      <c r="F74" s="207">
        <f>AVERAGE(F64:F73)</f>
        <v>48.1</v>
      </c>
      <c r="G74" s="205"/>
      <c r="H74" s="193"/>
      <c r="L74" s="17"/>
      <c r="M74" s="38"/>
      <c r="N74" s="38"/>
      <c r="O74" s="38"/>
      <c r="P74" s="38"/>
      <c r="Q74" s="193"/>
    </row>
    <row r="75" spans="3:17" ht="12.75">
      <c r="C75" s="2"/>
      <c r="D75" s="5"/>
      <c r="E75" s="5"/>
      <c r="F75" s="5"/>
      <c r="G75" s="31"/>
      <c r="H75" s="193"/>
      <c r="L75" s="17"/>
      <c r="M75" s="31"/>
      <c r="N75" s="31"/>
      <c r="O75" s="31"/>
      <c r="P75" s="31"/>
      <c r="Q75" s="193"/>
    </row>
    <row r="76" ht="12.75">
      <c r="C76" s="2"/>
    </row>
    <row r="77" ht="12.75">
      <c r="C77" s="2"/>
    </row>
    <row r="79" spans="2:7" ht="12.75">
      <c r="B79" s="41" t="s">
        <v>211</v>
      </c>
      <c r="C79"/>
      <c r="D79" s="4"/>
      <c r="E79" s="4"/>
      <c r="F79" s="4"/>
      <c r="G79" s="4"/>
    </row>
    <row r="80" spans="2:7" ht="12.75">
      <c r="B80" t="s">
        <v>138</v>
      </c>
      <c r="C80" s="198" t="s">
        <v>12</v>
      </c>
      <c r="D80" s="198" t="s">
        <v>13</v>
      </c>
      <c r="E80" s="198" t="s">
        <v>15</v>
      </c>
      <c r="F80" s="199" t="s">
        <v>14</v>
      </c>
      <c r="G80" s="200" t="s">
        <v>141</v>
      </c>
    </row>
    <row r="81" spans="2:7" ht="12.75">
      <c r="B81" s="5">
        <v>1</v>
      </c>
      <c r="C81" s="206">
        <f aca="true" t="shared" si="5" ref="C81:F88">C64*$C$60</f>
        <v>44</v>
      </c>
      <c r="D81" s="206">
        <f t="shared" si="5"/>
        <v>45</v>
      </c>
      <c r="E81" s="206">
        <f t="shared" si="5"/>
        <v>45</v>
      </c>
      <c r="F81" s="207">
        <f t="shared" si="5"/>
        <v>43</v>
      </c>
      <c r="G81" s="208">
        <f>SUM(C81:F81)</f>
        <v>177</v>
      </c>
    </row>
    <row r="82" spans="2:7" ht="12.75">
      <c r="B82" s="5">
        <v>2</v>
      </c>
      <c r="C82" s="206">
        <f t="shared" si="5"/>
        <v>53</v>
      </c>
      <c r="D82" s="206">
        <f t="shared" si="5"/>
        <v>54</v>
      </c>
      <c r="E82" s="206">
        <f t="shared" si="5"/>
        <v>53</v>
      </c>
      <c r="F82" s="207">
        <f t="shared" si="5"/>
        <v>55</v>
      </c>
      <c r="G82" s="208">
        <f aca="true" t="shared" si="6" ref="G82:G90">SUM(C82:F82)</f>
        <v>215</v>
      </c>
    </row>
    <row r="83" spans="2:7" ht="12.75">
      <c r="B83" s="5">
        <v>3</v>
      </c>
      <c r="C83" s="206">
        <f t="shared" si="5"/>
        <v>50</v>
      </c>
      <c r="D83" s="206">
        <f t="shared" si="5"/>
        <v>51</v>
      </c>
      <c r="E83" s="206">
        <f t="shared" si="5"/>
        <v>52</v>
      </c>
      <c r="F83" s="207">
        <f t="shared" si="5"/>
        <v>51</v>
      </c>
      <c r="G83" s="208">
        <f t="shared" si="6"/>
        <v>204</v>
      </c>
    </row>
    <row r="84" spans="2:7" ht="12.75">
      <c r="B84" s="5">
        <v>4</v>
      </c>
      <c r="C84" s="206">
        <f t="shared" si="5"/>
        <v>58</v>
      </c>
      <c r="D84" s="206">
        <f t="shared" si="5"/>
        <v>58</v>
      </c>
      <c r="E84" s="206">
        <f t="shared" si="5"/>
        <v>59</v>
      </c>
      <c r="F84" s="207">
        <f t="shared" si="5"/>
        <v>59</v>
      </c>
      <c r="G84" s="208">
        <f t="shared" si="6"/>
        <v>234</v>
      </c>
    </row>
    <row r="85" spans="2:7" ht="12.75">
      <c r="B85" s="5">
        <v>5</v>
      </c>
      <c r="C85" s="206">
        <f t="shared" si="5"/>
        <v>61</v>
      </c>
      <c r="D85" s="206">
        <f t="shared" si="5"/>
        <v>64</v>
      </c>
      <c r="E85" s="206">
        <f t="shared" si="5"/>
        <v>64</v>
      </c>
      <c r="F85" s="207">
        <f t="shared" si="5"/>
        <v>63</v>
      </c>
      <c r="G85" s="208">
        <f t="shared" si="6"/>
        <v>252</v>
      </c>
    </row>
    <row r="86" spans="2:7" ht="12.75">
      <c r="B86" s="5">
        <v>6</v>
      </c>
      <c r="C86" s="206">
        <f t="shared" si="5"/>
        <v>25</v>
      </c>
      <c r="D86" s="206">
        <f t="shared" si="5"/>
        <v>27</v>
      </c>
      <c r="E86" s="206">
        <f t="shared" si="5"/>
        <v>29</v>
      </c>
      <c r="F86" s="207">
        <f t="shared" si="5"/>
        <v>27</v>
      </c>
      <c r="G86" s="208">
        <f t="shared" si="6"/>
        <v>108</v>
      </c>
    </row>
    <row r="87" spans="2:7" ht="12.75">
      <c r="B87" s="5">
        <v>7</v>
      </c>
      <c r="C87" s="206">
        <f t="shared" si="5"/>
        <v>39</v>
      </c>
      <c r="D87" s="206">
        <f t="shared" si="5"/>
        <v>38</v>
      </c>
      <c r="E87" s="206">
        <f t="shared" si="5"/>
        <v>40</v>
      </c>
      <c r="F87" s="207">
        <f t="shared" si="5"/>
        <v>41</v>
      </c>
      <c r="G87" s="208">
        <f t="shared" si="6"/>
        <v>158</v>
      </c>
    </row>
    <row r="88" spans="2:7" ht="12.75">
      <c r="B88" s="5">
        <v>8</v>
      </c>
      <c r="C88" s="206">
        <f t="shared" si="5"/>
        <v>50</v>
      </c>
      <c r="D88" s="206">
        <f t="shared" si="5"/>
        <v>48</v>
      </c>
      <c r="E88" s="206">
        <f t="shared" si="5"/>
        <v>48</v>
      </c>
      <c r="F88" s="207">
        <f t="shared" si="5"/>
        <v>49</v>
      </c>
      <c r="G88" s="208">
        <f t="shared" si="6"/>
        <v>195</v>
      </c>
    </row>
    <row r="89" spans="2:7" ht="12.75">
      <c r="B89" s="5">
        <v>9</v>
      </c>
      <c r="C89" s="206">
        <f aca="true" t="shared" si="7" ref="C89:F90">C72*$C$60</f>
        <v>53</v>
      </c>
      <c r="D89" s="206">
        <f t="shared" si="7"/>
        <v>53</v>
      </c>
      <c r="E89" s="206">
        <f t="shared" si="7"/>
        <v>53</v>
      </c>
      <c r="F89" s="207">
        <f t="shared" si="7"/>
        <v>54</v>
      </c>
      <c r="G89" s="208">
        <f t="shared" si="6"/>
        <v>213</v>
      </c>
    </row>
    <row r="90" spans="2:7" ht="12.75">
      <c r="B90" s="202">
        <v>10</v>
      </c>
      <c r="C90" s="209">
        <f t="shared" si="7"/>
        <v>38</v>
      </c>
      <c r="D90" s="209">
        <f t="shared" si="7"/>
        <v>38</v>
      </c>
      <c r="E90" s="209">
        <f t="shared" si="7"/>
        <v>41</v>
      </c>
      <c r="F90" s="210">
        <f t="shared" si="7"/>
        <v>39</v>
      </c>
      <c r="G90" s="211">
        <f t="shared" si="6"/>
        <v>156</v>
      </c>
    </row>
    <row r="91" spans="2:8" ht="12.75">
      <c r="B91" s="2" t="s">
        <v>19</v>
      </c>
      <c r="C91" s="212">
        <f>SUM(C81:C90)</f>
        <v>471</v>
      </c>
      <c r="D91" s="212">
        <f>SUM(D81:D90)</f>
        <v>476</v>
      </c>
      <c r="E91" s="212">
        <f>SUM(E81:E90)</f>
        <v>484</v>
      </c>
      <c r="F91" s="207">
        <f>SUM(F81:F90)</f>
        <v>481</v>
      </c>
      <c r="G91" s="212">
        <f>SUM(G81:G90)</f>
        <v>1912</v>
      </c>
      <c r="H91" s="9" t="s">
        <v>160</v>
      </c>
    </row>
    <row r="92" spans="7:8" ht="12.75">
      <c r="G92" s="193">
        <f>COUNT(C81:F90)</f>
        <v>40</v>
      </c>
      <c r="H92" s="9" t="s">
        <v>213</v>
      </c>
    </row>
    <row r="93" spans="2:8" ht="12.75">
      <c r="B93" s="9" t="s">
        <v>142</v>
      </c>
      <c r="G93" s="31">
        <f>G91^2/G92</f>
        <v>91393.6</v>
      </c>
      <c r="H93" s="9" t="s">
        <v>214</v>
      </c>
    </row>
    <row r="94" spans="2:3" ht="12.75">
      <c r="B94" s="9" t="s">
        <v>143</v>
      </c>
      <c r="C94" s="31">
        <f>SUMSQ(C81:F90)</f>
        <v>95484</v>
      </c>
    </row>
    <row r="95" spans="2:3" ht="12.75">
      <c r="B95" s="192" t="s">
        <v>144</v>
      </c>
      <c r="C95" s="31">
        <f>SUMSQ(C91:F91)</f>
        <v>914034</v>
      </c>
    </row>
    <row r="96" spans="2:3" ht="12.75">
      <c r="B96" s="192" t="s">
        <v>145</v>
      </c>
      <c r="C96" s="31">
        <f>SUMSQ(G81:G90)</f>
        <v>381788</v>
      </c>
    </row>
    <row r="98" ht="13.5" thickBot="1"/>
    <row r="99" spans="1:7" ht="12.75">
      <c r="A99" s="17" t="s">
        <v>123</v>
      </c>
      <c r="B99" s="194" t="s">
        <v>219</v>
      </c>
      <c r="C99" s="33" t="s">
        <v>154</v>
      </c>
      <c r="D99" s="42" t="s">
        <v>119</v>
      </c>
      <c r="E99" s="227" t="s">
        <v>206</v>
      </c>
      <c r="F99" s="227" t="s">
        <v>71</v>
      </c>
      <c r="G99" s="223" t="s">
        <v>208</v>
      </c>
    </row>
    <row r="100" spans="2:7" ht="12.75">
      <c r="B100" s="219" t="s">
        <v>146</v>
      </c>
      <c r="C100" s="53">
        <f>B60*4-1</f>
        <v>39</v>
      </c>
      <c r="D100" s="32">
        <f>C94/C60-G93</f>
        <v>4090.399999999994</v>
      </c>
      <c r="G100" s="35"/>
    </row>
    <row r="101" spans="2:7" ht="12.75">
      <c r="B101" s="220" t="s">
        <v>147</v>
      </c>
      <c r="C101" s="31">
        <v>3</v>
      </c>
      <c r="D101" s="9">
        <f>C95/D60-G93</f>
        <v>9.799999999988358</v>
      </c>
      <c r="E101" s="9">
        <f>D101/C101</f>
        <v>3.266666666662786</v>
      </c>
      <c r="F101" s="38">
        <f>E101/E103</f>
        <v>3.2426470588182896</v>
      </c>
      <c r="G101" s="54">
        <f>FINV(0.05,C101,C103)</f>
        <v>2.9603513208392105</v>
      </c>
    </row>
    <row r="102" spans="2:7" ht="12.75">
      <c r="B102" s="220" t="s">
        <v>110</v>
      </c>
      <c r="C102" s="31">
        <f>B60-1</f>
        <v>9</v>
      </c>
      <c r="D102" s="9">
        <f>C96/E60-G93</f>
        <v>4053.399999999994</v>
      </c>
      <c r="E102" s="9">
        <f>D102/C102</f>
        <v>450.3777777777771</v>
      </c>
      <c r="G102" s="35"/>
    </row>
    <row r="103" spans="2:7" ht="12.75">
      <c r="B103" s="220" t="s">
        <v>148</v>
      </c>
      <c r="C103" s="31">
        <f>C101*C102</f>
        <v>27</v>
      </c>
      <c r="D103" s="9">
        <f>D100-(D101+D102)</f>
        <v>27.20000000001164</v>
      </c>
      <c r="E103" s="9">
        <f>D103/C103</f>
        <v>1.0074074074078385</v>
      </c>
      <c r="G103" s="35"/>
    </row>
    <row r="104" spans="2:7" ht="13.5" thickBot="1">
      <c r="B104" s="55"/>
      <c r="C104" s="37"/>
      <c r="D104" s="37"/>
      <c r="E104" s="37"/>
      <c r="F104" s="37"/>
      <c r="G104" s="11"/>
    </row>
    <row r="106" ht="13.5" thickBot="1"/>
    <row r="107" spans="1:4" ht="12.75">
      <c r="A107" s="17" t="s">
        <v>84</v>
      </c>
      <c r="C107" s="52" t="s">
        <v>150</v>
      </c>
      <c r="D107" s="223" t="s">
        <v>149</v>
      </c>
    </row>
    <row r="108" spans="2:4" ht="12.75">
      <c r="B108" s="21" t="s">
        <v>173</v>
      </c>
      <c r="C108" s="224">
        <f>E103</f>
        <v>1.0074074074078385</v>
      </c>
      <c r="D108" s="54">
        <f>E102</f>
        <v>450.3777777777771</v>
      </c>
    </row>
    <row r="109" spans="2:4" ht="12.75">
      <c r="B109" s="21" t="s">
        <v>83</v>
      </c>
      <c r="C109" s="224">
        <f>SQRT(C108/$D$60)</f>
        <v>0.3173968190464168</v>
      </c>
      <c r="D109" s="54">
        <f>SQRT(D108/$D$60)</f>
        <v>6.711019131084169</v>
      </c>
    </row>
    <row r="110" spans="2:4" ht="12.75">
      <c r="B110" s="21" t="s">
        <v>154</v>
      </c>
      <c r="C110" s="225">
        <f>C103</f>
        <v>27</v>
      </c>
      <c r="D110" s="226">
        <f>C102</f>
        <v>9</v>
      </c>
    </row>
    <row r="111" spans="2:4" ht="12.75">
      <c r="B111" s="21" t="s">
        <v>134</v>
      </c>
      <c r="C111" s="224">
        <f>TINV(0.05,C110)</f>
        <v>2.0518304929706748</v>
      </c>
      <c r="D111" s="54">
        <f>TINV(0.05,D110)</f>
        <v>2.262157158173583</v>
      </c>
    </row>
    <row r="112" spans="2:4" ht="13.5" thickBot="1">
      <c r="B112" s="21" t="s">
        <v>82</v>
      </c>
      <c r="C112" s="195">
        <f>C109*C111</f>
        <v>0.6512444716913335</v>
      </c>
      <c r="D112" s="47">
        <f>D109*D111</f>
        <v>15.181379966021911</v>
      </c>
    </row>
    <row r="115" spans="1:3" ht="12.75">
      <c r="A115" s="17" t="s">
        <v>128</v>
      </c>
      <c r="B115" s="21" t="s">
        <v>153</v>
      </c>
      <c r="C115" s="31">
        <v>20</v>
      </c>
    </row>
    <row r="116" ht="13.5" thickBot="1">
      <c r="A116" s="9"/>
    </row>
    <row r="117" spans="1:7" ht="12.75">
      <c r="A117" s="9"/>
      <c r="B117" s="214" t="s">
        <v>219</v>
      </c>
      <c r="C117" s="215" t="s">
        <v>154</v>
      </c>
      <c r="D117" s="216" t="s">
        <v>119</v>
      </c>
      <c r="E117" s="217" t="s">
        <v>206</v>
      </c>
      <c r="F117" s="217" t="s">
        <v>71</v>
      </c>
      <c r="G117" s="218" t="s">
        <v>208</v>
      </c>
    </row>
    <row r="118" spans="2:7" ht="12.75">
      <c r="B118" s="219" t="s">
        <v>146</v>
      </c>
      <c r="C118" s="53">
        <v>39</v>
      </c>
      <c r="D118" s="32">
        <f>D100*$C$115</f>
        <v>81807.99999999988</v>
      </c>
      <c r="G118" s="35"/>
    </row>
    <row r="119" spans="2:7" ht="12.75">
      <c r="B119" s="220" t="s">
        <v>147</v>
      </c>
      <c r="C119" s="31">
        <v>3</v>
      </c>
      <c r="D119" s="9">
        <f>D101*$C$115</f>
        <v>195.99999999976717</v>
      </c>
      <c r="E119" s="9">
        <f>E101*$C$115</f>
        <v>65.33333333325572</v>
      </c>
      <c r="F119" s="38">
        <v>3.2426470588182896</v>
      </c>
      <c r="G119" s="54">
        <v>2.9603513208392105</v>
      </c>
    </row>
    <row r="120" spans="2:7" ht="12.75">
      <c r="B120" s="220" t="s">
        <v>110</v>
      </c>
      <c r="C120" s="31">
        <v>9</v>
      </c>
      <c r="D120" s="9">
        <f>D102*$C$115</f>
        <v>81067.99999999988</v>
      </c>
      <c r="E120" s="9">
        <f>E102*$C$115</f>
        <v>9007.555555555542</v>
      </c>
      <c r="G120" s="35"/>
    </row>
    <row r="121" spans="2:7" ht="13.5" thickBot="1">
      <c r="B121" s="221" t="s">
        <v>148</v>
      </c>
      <c r="C121" s="222">
        <v>27</v>
      </c>
      <c r="D121" s="37">
        <f>D103*$C$115</f>
        <v>544.0000000002328</v>
      </c>
      <c r="E121" s="37">
        <f>E103*$C$115</f>
        <v>20.14814814815677</v>
      </c>
      <c r="F121" s="37"/>
      <c r="G121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25" sqref="I25"/>
    </sheetView>
  </sheetViews>
  <sheetFormatPr defaultColWidth="11.00390625" defaultRowHeight="12.75"/>
  <cols>
    <col min="1" max="1" width="7.00390625" style="3" customWidth="1"/>
    <col min="3" max="3" width="11.75390625" style="0" bestFit="1" customWidth="1"/>
  </cols>
  <sheetData>
    <row r="1" spans="1:11" ht="12.75">
      <c r="A1" s="49" t="s">
        <v>116</v>
      </c>
      <c r="B1" t="s">
        <v>153</v>
      </c>
      <c r="C1" s="5">
        <f>I7</f>
        <v>16</v>
      </c>
      <c r="E1" s="3" t="s">
        <v>112</v>
      </c>
      <c r="F1" s="3" t="s">
        <v>113</v>
      </c>
      <c r="G1" t="s">
        <v>79</v>
      </c>
      <c r="H1" t="s">
        <v>31</v>
      </c>
      <c r="I1">
        <v>6</v>
      </c>
      <c r="J1" s="3" t="s">
        <v>112</v>
      </c>
      <c r="K1" s="3" t="s">
        <v>113</v>
      </c>
    </row>
    <row r="2" spans="5:11" ht="12.75">
      <c r="E2" s="4">
        <v>6</v>
      </c>
      <c r="F2" s="4">
        <v>7</v>
      </c>
      <c r="G2">
        <f>E2*$C$9+$C$10</f>
        <v>6.769841269841269</v>
      </c>
      <c r="H2" t="s">
        <v>32</v>
      </c>
      <c r="I2">
        <v>1</v>
      </c>
      <c r="J2" s="4">
        <f aca="true" ca="1" t="shared" si="0" ref="J2:J17">ROUND($I$1+NORMSINV(RAND())*$I$2,0)</f>
        <v>5</v>
      </c>
      <c r="K2" s="4">
        <f aca="true" ca="1" t="shared" si="1" ref="K2:K17">ROUND(J2*$I$4+$I$5+NORMSINV(RAND())*$I$3,0)</f>
        <v>6</v>
      </c>
    </row>
    <row r="3" spans="2:11" ht="12.75">
      <c r="B3" s="39" t="s">
        <v>25</v>
      </c>
      <c r="C3" s="5">
        <f>SUM(E2:E17)</f>
        <v>94</v>
      </c>
      <c r="E3" s="4">
        <v>5</v>
      </c>
      <c r="F3" s="4">
        <v>7</v>
      </c>
      <c r="G3">
        <f aca="true" t="shared" si="2" ref="G3:G17">E3*$C$9+$C$10</f>
        <v>5.111111111111111</v>
      </c>
      <c r="H3" t="s">
        <v>114</v>
      </c>
      <c r="I3">
        <v>1</v>
      </c>
      <c r="J3" s="4">
        <f ca="1" t="shared" si="0"/>
        <v>6</v>
      </c>
      <c r="K3" s="4">
        <f ca="1" t="shared" si="1"/>
        <v>7</v>
      </c>
    </row>
    <row r="4" spans="2:11" ht="12.75">
      <c r="B4" s="5" t="s">
        <v>27</v>
      </c>
      <c r="C4" s="5">
        <f>SUMSQ(E2:E17)</f>
        <v>568</v>
      </c>
      <c r="E4" s="4">
        <v>8</v>
      </c>
      <c r="F4" s="4">
        <v>11</v>
      </c>
      <c r="G4">
        <f t="shared" si="2"/>
        <v>10.087301587301587</v>
      </c>
      <c r="H4" t="s">
        <v>125</v>
      </c>
      <c r="I4">
        <v>1</v>
      </c>
      <c r="J4" s="4">
        <f ca="1" t="shared" si="0"/>
        <v>6</v>
      </c>
      <c r="K4" s="4">
        <f ca="1" t="shared" si="1"/>
        <v>7</v>
      </c>
    </row>
    <row r="5" spans="2:11" ht="12.75">
      <c r="B5" s="5" t="s">
        <v>26</v>
      </c>
      <c r="C5" s="5">
        <f>SUM(F2:F17)</f>
        <v>105</v>
      </c>
      <c r="E5" s="4">
        <v>4</v>
      </c>
      <c r="F5" s="4">
        <v>2</v>
      </c>
      <c r="G5">
        <f t="shared" si="2"/>
        <v>3.4523809523809517</v>
      </c>
      <c r="H5" t="s">
        <v>123</v>
      </c>
      <c r="I5">
        <v>1</v>
      </c>
      <c r="J5" s="4">
        <f ca="1" t="shared" si="0"/>
        <v>6</v>
      </c>
      <c r="K5" s="4">
        <f ca="1" t="shared" si="1"/>
        <v>8</v>
      </c>
    </row>
    <row r="6" spans="2:11" ht="12.75">
      <c r="B6" s="5" t="s">
        <v>28</v>
      </c>
      <c r="C6" s="5">
        <f>SUMSQ(F2:F17)</f>
        <v>761</v>
      </c>
      <c r="E6" s="4">
        <v>7</v>
      </c>
      <c r="F6" s="4">
        <v>7</v>
      </c>
      <c r="G6">
        <f t="shared" si="2"/>
        <v>8.428571428571429</v>
      </c>
      <c r="J6" s="4">
        <f ca="1" t="shared" si="0"/>
        <v>6</v>
      </c>
      <c r="K6" s="4">
        <f ca="1" t="shared" si="1"/>
        <v>8</v>
      </c>
    </row>
    <row r="7" spans="2:11" ht="12.75">
      <c r="B7" s="5" t="s">
        <v>29</v>
      </c>
      <c r="C7" s="5">
        <f>SUMPRODUCT(E2:E17,F2:F17)</f>
        <v>643</v>
      </c>
      <c r="E7" s="4">
        <v>5</v>
      </c>
      <c r="F7" s="4">
        <v>6</v>
      </c>
      <c r="G7">
        <f t="shared" si="2"/>
        <v>5.111111111111111</v>
      </c>
      <c r="H7" t="s">
        <v>153</v>
      </c>
      <c r="I7" s="5">
        <f>COUNT(E2:E17)</f>
        <v>16</v>
      </c>
      <c r="J7" s="4">
        <f ca="1" t="shared" si="0"/>
        <v>6</v>
      </c>
      <c r="K7" s="4">
        <f ca="1" t="shared" si="1"/>
        <v>8</v>
      </c>
    </row>
    <row r="8" spans="5:11" ht="13.5" thickBot="1">
      <c r="E8" s="4">
        <v>6</v>
      </c>
      <c r="F8" s="4">
        <v>7</v>
      </c>
      <c r="G8">
        <f t="shared" si="2"/>
        <v>6.769841269841269</v>
      </c>
      <c r="J8" s="4">
        <f ca="1" t="shared" si="0"/>
        <v>6</v>
      </c>
      <c r="K8" s="4">
        <f ca="1" t="shared" si="1"/>
        <v>8</v>
      </c>
    </row>
    <row r="9" spans="1:11" ht="12.75">
      <c r="A9" s="3" t="s">
        <v>123</v>
      </c>
      <c r="B9" s="64" t="s">
        <v>125</v>
      </c>
      <c r="C9" s="46">
        <f>(C1*C7-C3*C5)/(C1*C4-C3^2)</f>
        <v>1.6587301587301588</v>
      </c>
      <c r="E9" s="4">
        <v>5</v>
      </c>
      <c r="F9" s="4">
        <v>6</v>
      </c>
      <c r="G9">
        <f t="shared" si="2"/>
        <v>5.111111111111111</v>
      </c>
      <c r="J9" s="4">
        <f ca="1" t="shared" si="0"/>
        <v>6</v>
      </c>
      <c r="K9" s="4">
        <f ca="1" t="shared" si="1"/>
        <v>5</v>
      </c>
    </row>
    <row r="10" spans="2:11" ht="13.5" thickBot="1">
      <c r="B10" s="65" t="s">
        <v>123</v>
      </c>
      <c r="C10" s="47">
        <f>(C5-C9*C3)/C1</f>
        <v>-3.1825396825396837</v>
      </c>
      <c r="E10" s="4">
        <v>6</v>
      </c>
      <c r="F10" s="4">
        <v>4</v>
      </c>
      <c r="G10">
        <f t="shared" si="2"/>
        <v>6.769841269841269</v>
      </c>
      <c r="J10" s="4">
        <f ca="1" t="shared" si="0"/>
        <v>8</v>
      </c>
      <c r="K10" s="4">
        <f ca="1" t="shared" si="1"/>
        <v>8</v>
      </c>
    </row>
    <row r="11" spans="5:11" ht="13.5" thickBot="1">
      <c r="E11" s="4">
        <v>6</v>
      </c>
      <c r="F11" s="4">
        <v>6</v>
      </c>
      <c r="G11">
        <f t="shared" si="2"/>
        <v>6.769841269841269</v>
      </c>
      <c r="J11" s="4">
        <f ca="1" t="shared" si="0"/>
        <v>8</v>
      </c>
      <c r="K11" s="4">
        <f ca="1" t="shared" si="1"/>
        <v>9</v>
      </c>
    </row>
    <row r="12" spans="1:11" ht="12.75">
      <c r="A12" s="3" t="s">
        <v>125</v>
      </c>
      <c r="B12" s="64" t="s">
        <v>125</v>
      </c>
      <c r="C12" s="46">
        <f>(C1*C7-C3*C5)/(C1*C6-C5^2)</f>
        <v>0.3631624674196351</v>
      </c>
      <c r="E12" s="4">
        <v>6</v>
      </c>
      <c r="F12" s="4">
        <v>9</v>
      </c>
      <c r="G12">
        <f t="shared" si="2"/>
        <v>6.769841269841269</v>
      </c>
      <c r="J12" s="4">
        <f ca="1" t="shared" si="0"/>
        <v>7</v>
      </c>
      <c r="K12" s="4">
        <f ca="1" t="shared" si="1"/>
        <v>7</v>
      </c>
    </row>
    <row r="13" spans="2:11" ht="13.5" thickBot="1">
      <c r="B13" s="65" t="s">
        <v>123</v>
      </c>
      <c r="C13" s="47">
        <f>(C3-C12*C5)/C1</f>
        <v>3.491746307558645</v>
      </c>
      <c r="E13" s="4">
        <v>6</v>
      </c>
      <c r="F13" s="4">
        <v>6</v>
      </c>
      <c r="G13">
        <f t="shared" si="2"/>
        <v>6.769841269841269</v>
      </c>
      <c r="J13" s="4">
        <f ca="1" t="shared" si="0"/>
        <v>7</v>
      </c>
      <c r="K13" s="4">
        <f ca="1" t="shared" si="1"/>
        <v>7</v>
      </c>
    </row>
    <row r="14" spans="2:11" ht="12.75">
      <c r="B14" s="31"/>
      <c r="C14" s="38"/>
      <c r="E14" s="4">
        <v>5</v>
      </c>
      <c r="F14" s="4">
        <v>5</v>
      </c>
      <c r="G14">
        <f t="shared" si="2"/>
        <v>5.111111111111111</v>
      </c>
      <c r="J14" s="4">
        <f ca="1" t="shared" si="0"/>
        <v>5</v>
      </c>
      <c r="K14" s="4">
        <f ca="1" t="shared" si="1"/>
        <v>7</v>
      </c>
    </row>
    <row r="15" spans="1:11" ht="12.75">
      <c r="A15" s="3" t="s">
        <v>126</v>
      </c>
      <c r="B15" s="31" t="s">
        <v>223</v>
      </c>
      <c r="C15" s="38"/>
      <c r="E15" s="4">
        <v>7</v>
      </c>
      <c r="F15" s="4">
        <v>7</v>
      </c>
      <c r="G15">
        <f t="shared" si="2"/>
        <v>8.428571428571429</v>
      </c>
      <c r="J15" s="4">
        <f ca="1" t="shared" si="0"/>
        <v>6</v>
      </c>
      <c r="K15" s="4">
        <f ca="1" t="shared" si="1"/>
        <v>7</v>
      </c>
    </row>
    <row r="16" spans="5:11" ht="13.5" thickBot="1">
      <c r="E16" s="4">
        <v>7</v>
      </c>
      <c r="F16" s="4">
        <v>10</v>
      </c>
      <c r="G16">
        <f t="shared" si="2"/>
        <v>8.428571428571429</v>
      </c>
      <c r="J16" s="4">
        <f ca="1" t="shared" si="0"/>
        <v>6</v>
      </c>
      <c r="K16" s="4">
        <f ca="1" t="shared" si="1"/>
        <v>8</v>
      </c>
    </row>
    <row r="17" spans="1:11" ht="13.5" thickBot="1">
      <c r="A17" s="3" t="s">
        <v>128</v>
      </c>
      <c r="B17" s="48" t="s">
        <v>30</v>
      </c>
      <c r="C17" s="45">
        <f>RSQ(E2:E17,F2:F17)</f>
        <v>0.6023885372278075</v>
      </c>
      <c r="E17" s="4">
        <v>5</v>
      </c>
      <c r="F17" s="4">
        <v>5</v>
      </c>
      <c r="G17">
        <f t="shared" si="2"/>
        <v>5.111111111111111</v>
      </c>
      <c r="J17" s="4">
        <f ca="1" t="shared" si="0"/>
        <v>7</v>
      </c>
      <c r="K17" s="4">
        <f ca="1" t="shared" si="1"/>
        <v>9</v>
      </c>
    </row>
    <row r="18" ht="13.5" thickBot="1"/>
    <row r="19" spans="2:3" ht="13.5" thickBot="1">
      <c r="B19" s="48" t="s">
        <v>78</v>
      </c>
      <c r="C19" s="45">
        <f>SQRT(C17)</f>
        <v>0.776136932008655</v>
      </c>
    </row>
    <row r="20" spans="2:3" ht="12.75">
      <c r="B20" s="193" t="s">
        <v>72</v>
      </c>
      <c r="C20" s="39">
        <f>0.5*LN((1+C19)/(1-C19))</f>
        <v>1.0355807303067217</v>
      </c>
    </row>
    <row r="21" spans="2:3" ht="12.75">
      <c r="B21" t="s">
        <v>73</v>
      </c>
      <c r="C21" s="39">
        <f>SQRT(1/(I7-3))</f>
        <v>0.2773500981126146</v>
      </c>
    </row>
    <row r="22" spans="2:3" ht="12.75">
      <c r="B22" s="193" t="s">
        <v>61</v>
      </c>
      <c r="C22" s="39">
        <f>TINV(0.2,1000000)</f>
        <v>1.281552410931229</v>
      </c>
    </row>
    <row r="23" spans="2:3" ht="12.75">
      <c r="B23" s="193" t="s">
        <v>74</v>
      </c>
      <c r="C23" s="39">
        <f>C20+C21*C22</f>
        <v>1.391019417214956</v>
      </c>
    </row>
    <row r="24" spans="2:3" ht="13.5" thickBot="1">
      <c r="B24" t="s">
        <v>75</v>
      </c>
      <c r="C24" s="39">
        <f>C20-C21*C22</f>
        <v>0.6801420433984875</v>
      </c>
    </row>
    <row r="25" spans="2:3" ht="12.75">
      <c r="B25" s="193" t="s">
        <v>76</v>
      </c>
      <c r="C25" s="228">
        <f>(EXP(2*C23)-1)/(EXP(2*C23)+1)</f>
        <v>0.8833949682411066</v>
      </c>
    </row>
    <row r="26" spans="2:3" ht="13.5" thickBot="1">
      <c r="B26" t="s">
        <v>77</v>
      </c>
      <c r="C26" s="229">
        <f>(EXP(2*C24)-1)/(EXP(2*C24)+1)</f>
        <v>0.5916117307688996</v>
      </c>
    </row>
    <row r="27" ht="13.5" thickBot="1">
      <c r="C27" s="38"/>
    </row>
    <row r="28" spans="1:3" ht="13.5" thickBot="1">
      <c r="A28" s="3" t="s">
        <v>136</v>
      </c>
      <c r="B28" s="50">
        <f>VARP(G2:G17)</f>
        <v>2.7083953373015817</v>
      </c>
      <c r="C28" s="38">
        <f>VARP(F2:F17)*C17</f>
        <v>2.7083953373015874</v>
      </c>
    </row>
    <row r="29" ht="12.75">
      <c r="C29" s="38"/>
    </row>
    <row r="31" ht="12.75">
      <c r="A31" s="49" t="s">
        <v>158</v>
      </c>
    </row>
    <row r="32" spans="1:8" ht="12.75">
      <c r="A32" s="3" t="s">
        <v>123</v>
      </c>
      <c r="B32" s="2" t="s">
        <v>62</v>
      </c>
      <c r="C32">
        <v>-6</v>
      </c>
      <c r="D32">
        <v>-7</v>
      </c>
      <c r="E32">
        <v>-9</v>
      </c>
      <c r="F32">
        <v>-16</v>
      </c>
      <c r="G32" t="s">
        <v>118</v>
      </c>
      <c r="H32">
        <f>AVERAGE(C32:F32)</f>
        <v>-9.5</v>
      </c>
    </row>
    <row r="33" spans="2:8" ht="13.5" thickBot="1">
      <c r="B33" s="2" t="s">
        <v>63</v>
      </c>
      <c r="C33">
        <f>C32-$H$32</f>
        <v>3.5</v>
      </c>
      <c r="D33">
        <f>D32-$H$32</f>
        <v>2.5</v>
      </c>
      <c r="E33">
        <f>E32-$H$32</f>
        <v>0.5</v>
      </c>
      <c r="F33">
        <f>F32-$H$32</f>
        <v>-6.5</v>
      </c>
      <c r="H33">
        <f>AVERAGE(C33:F33)</f>
        <v>0</v>
      </c>
    </row>
    <row r="34" spans="2:7" ht="13.5" thickBot="1">
      <c r="B34" s="13" t="s">
        <v>64</v>
      </c>
      <c r="C34" s="51">
        <f>C33*2</f>
        <v>7</v>
      </c>
      <c r="D34" s="51">
        <f>D33*2</f>
        <v>5</v>
      </c>
      <c r="E34" s="51">
        <f>E33*2</f>
        <v>1</v>
      </c>
      <c r="F34" s="23">
        <f>F33*2</f>
        <v>-13</v>
      </c>
      <c r="G34" t="s">
        <v>65</v>
      </c>
    </row>
    <row r="36" spans="1:7" ht="12.75">
      <c r="A36" s="3" t="s">
        <v>125</v>
      </c>
      <c r="C36" s="5">
        <v>5</v>
      </c>
      <c r="D36" s="5">
        <v>4</v>
      </c>
      <c r="E36" s="5">
        <v>4</v>
      </c>
      <c r="F36" s="5">
        <v>4</v>
      </c>
      <c r="G36" t="s">
        <v>18</v>
      </c>
    </row>
    <row r="37" spans="3:7" ht="12.75">
      <c r="C37">
        <f>C36*$C$39</f>
        <v>500</v>
      </c>
      <c r="D37">
        <f>D36*$C$39</f>
        <v>400</v>
      </c>
      <c r="E37">
        <f>E36*$C$39</f>
        <v>400</v>
      </c>
      <c r="F37">
        <f>F36*$C$39</f>
        <v>400</v>
      </c>
      <c r="G37" t="s">
        <v>68</v>
      </c>
    </row>
    <row r="38" spans="6:7" ht="12.75">
      <c r="F38">
        <f>SUM(C37:F37)</f>
        <v>1700</v>
      </c>
      <c r="G38" t="s">
        <v>160</v>
      </c>
    </row>
    <row r="39" spans="2:7" ht="12.75">
      <c r="B39" t="s">
        <v>153</v>
      </c>
      <c r="C39" s="5">
        <v>100</v>
      </c>
      <c r="F39" s="5">
        <f>C39*4</f>
        <v>400</v>
      </c>
      <c r="G39" t="s">
        <v>213</v>
      </c>
    </row>
    <row r="40" spans="2:3" ht="12.75">
      <c r="B40" t="s">
        <v>160</v>
      </c>
      <c r="C40" s="5">
        <f>SUM(C37:F37)</f>
        <v>1700</v>
      </c>
    </row>
    <row r="41" spans="2:3" ht="12.75">
      <c r="B41" t="s">
        <v>213</v>
      </c>
      <c r="C41" s="5">
        <f>F39</f>
        <v>400</v>
      </c>
    </row>
    <row r="42" spans="2:3" ht="12.75">
      <c r="B42" t="s">
        <v>69</v>
      </c>
      <c r="C42">
        <f>SUMSQ(C37:F37)/C39</f>
        <v>7300</v>
      </c>
    </row>
    <row r="43" spans="2:3" ht="12.75">
      <c r="B43" t="s">
        <v>215</v>
      </c>
      <c r="C43" s="39">
        <f>C42-(C40^2/C41)</f>
        <v>75</v>
      </c>
    </row>
    <row r="45" spans="2:3" ht="12.75">
      <c r="B45" t="s">
        <v>66</v>
      </c>
      <c r="C45" s="39">
        <f>SUMPRODUCT(C34:F34,C36:F36)</f>
        <v>7</v>
      </c>
    </row>
    <row r="46" spans="2:3" ht="12.75">
      <c r="B46" t="s">
        <v>67</v>
      </c>
      <c r="C46">
        <f>SUMSQ(C34:F34)</f>
        <v>244</v>
      </c>
    </row>
    <row r="47" spans="2:3" ht="12.75">
      <c r="B47" t="s">
        <v>70</v>
      </c>
      <c r="C47" s="39">
        <f>(C39*C45^2)/C46</f>
        <v>20.081967213114755</v>
      </c>
    </row>
    <row r="48" spans="2:3" ht="12.75">
      <c r="B48" t="s">
        <v>216</v>
      </c>
      <c r="C48" s="39">
        <f>C43-C47</f>
        <v>54.91803278688525</v>
      </c>
    </row>
    <row r="49" ht="13.5" thickBot="1"/>
    <row r="50" spans="2:8" ht="12.75">
      <c r="B50" s="52" t="s">
        <v>218</v>
      </c>
      <c r="C50" s="33"/>
      <c r="D50" s="33"/>
      <c r="E50" s="33"/>
      <c r="F50" s="33"/>
      <c r="G50" s="33"/>
      <c r="H50" s="34"/>
    </row>
    <row r="51" spans="2:8" ht="12.75">
      <c r="B51" s="43" t="s">
        <v>219</v>
      </c>
      <c r="C51" s="9" t="s">
        <v>154</v>
      </c>
      <c r="D51" s="9" t="s">
        <v>119</v>
      </c>
      <c r="E51" s="9" t="s">
        <v>206</v>
      </c>
      <c r="F51" s="9" t="s">
        <v>71</v>
      </c>
      <c r="G51" s="9" t="s">
        <v>208</v>
      </c>
      <c r="H51" s="35" t="s">
        <v>80</v>
      </c>
    </row>
    <row r="52" spans="2:8" ht="12.75">
      <c r="B52" s="43" t="s">
        <v>220</v>
      </c>
      <c r="C52" s="53">
        <v>3</v>
      </c>
      <c r="D52" s="32">
        <f>C43</f>
        <v>75</v>
      </c>
      <c r="E52" s="9"/>
      <c r="F52" s="9"/>
      <c r="G52" s="9"/>
      <c r="H52" s="35"/>
    </row>
    <row r="53" spans="2:8" ht="12.75">
      <c r="B53" s="15" t="s">
        <v>115</v>
      </c>
      <c r="C53" s="31">
        <v>1</v>
      </c>
      <c r="D53" s="38">
        <f>C47</f>
        <v>20.081967213114755</v>
      </c>
      <c r="E53" s="38">
        <f>D53/C53</f>
        <v>20.081967213114755</v>
      </c>
      <c r="F53" s="38">
        <f>E53/$E$55</f>
        <v>4.016393442622951</v>
      </c>
      <c r="G53" s="38">
        <f>FINV(0.05,C53,$C$55)</f>
        <v>3.8650480010017816</v>
      </c>
      <c r="H53" s="54">
        <f>D53/$D$52</f>
        <v>0.2677595628415301</v>
      </c>
    </row>
    <row r="54" spans="2:8" ht="12.75">
      <c r="B54" s="15" t="s">
        <v>221</v>
      </c>
      <c r="C54" s="31">
        <v>2</v>
      </c>
      <c r="D54" s="38">
        <f>C48</f>
        <v>54.91803278688525</v>
      </c>
      <c r="E54" s="38">
        <f>D54/C54</f>
        <v>27.459016393442624</v>
      </c>
      <c r="F54" s="38">
        <f>E54/$E$55</f>
        <v>5.491803278688525</v>
      </c>
      <c r="G54" s="38">
        <f>FINV(0.05,C54,$C$55)</f>
        <v>3.018509658461525</v>
      </c>
      <c r="H54" s="54">
        <f>D54/$D$52</f>
        <v>0.73224043715847</v>
      </c>
    </row>
    <row r="55" spans="2:8" ht="13.5" thickBot="1">
      <c r="B55" s="55" t="s">
        <v>210</v>
      </c>
      <c r="C55" s="44">
        <f>(C39-1)*4</f>
        <v>396</v>
      </c>
      <c r="D55" s="36">
        <f>C55*E55</f>
        <v>1980</v>
      </c>
      <c r="E55" s="36">
        <v>5</v>
      </c>
      <c r="F55" s="37"/>
      <c r="G55" s="37"/>
      <c r="H55" s="11"/>
    </row>
    <row r="56" ht="13.5" thickBot="1"/>
    <row r="57" spans="1:2" ht="13.5" thickBot="1">
      <c r="A57" s="3" t="s">
        <v>126</v>
      </c>
      <c r="B57" s="50">
        <f>SQRT(H53)</f>
        <v>0.517454889668201</v>
      </c>
    </row>
    <row r="59" spans="3:6" ht="12.75">
      <c r="C59">
        <f>-C32</f>
        <v>6</v>
      </c>
      <c r="D59">
        <f>-D32</f>
        <v>7</v>
      </c>
      <c r="E59">
        <f>-E32</f>
        <v>9</v>
      </c>
      <c r="F59">
        <f>-F32</f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="110" zoomScaleNormal="110" workbookViewId="0" topLeftCell="A39">
      <selection activeCell="C58" sqref="C58"/>
    </sheetView>
  </sheetViews>
  <sheetFormatPr defaultColWidth="11.00390625" defaultRowHeight="12.75"/>
  <cols>
    <col min="1" max="1" width="11.25390625" style="17" customWidth="1"/>
    <col min="2" max="2" width="10.75390625" style="27" customWidth="1"/>
    <col min="3" max="3" width="11.75390625" style="27" bestFit="1" customWidth="1"/>
    <col min="4" max="16384" width="10.75390625" style="27" customWidth="1"/>
  </cols>
  <sheetData>
    <row r="1" spans="1:6" ht="12.75">
      <c r="A1" s="232" t="s">
        <v>116</v>
      </c>
      <c r="B1" t="s">
        <v>54</v>
      </c>
      <c r="C1" s="5">
        <v>5</v>
      </c>
      <c r="E1" t="s">
        <v>213</v>
      </c>
      <c r="F1" s="5">
        <f>C1*C2*C3</f>
        <v>1000</v>
      </c>
    </row>
    <row r="2" spans="2:6" ht="12.75">
      <c r="B2" t="s">
        <v>55</v>
      </c>
      <c r="C2" s="5">
        <v>10</v>
      </c>
      <c r="F2" s="5">
        <f>C1*C2</f>
        <v>50</v>
      </c>
    </row>
    <row r="3" spans="2:3" ht="12.75">
      <c r="B3" t="s">
        <v>153</v>
      </c>
      <c r="C3" s="5">
        <v>20</v>
      </c>
    </row>
    <row r="4" spans="1:8" ht="13.5" thickBot="1">
      <c r="A4" s="233"/>
      <c r="B4" s="234" t="s">
        <v>219</v>
      </c>
      <c r="C4" s="72" t="s">
        <v>154</v>
      </c>
      <c r="D4" s="72" t="s">
        <v>119</v>
      </c>
      <c r="E4" s="72" t="s">
        <v>206</v>
      </c>
      <c r="F4" s="234" t="s">
        <v>71</v>
      </c>
      <c r="G4" s="234" t="s">
        <v>208</v>
      </c>
      <c r="H4" s="234"/>
    </row>
    <row r="5" spans="1:8" ht="12.75">
      <c r="A5" s="234" t="s">
        <v>129</v>
      </c>
      <c r="B5" s="234" t="s">
        <v>220</v>
      </c>
      <c r="C5" s="296">
        <f>C1*C2-1</f>
        <v>49</v>
      </c>
      <c r="D5" s="297">
        <v>200</v>
      </c>
      <c r="E5" s="254">
        <f>D5/C5</f>
        <v>4.081632653061225</v>
      </c>
      <c r="F5" s="255"/>
      <c r="G5" s="256"/>
      <c r="H5" s="234"/>
    </row>
    <row r="6" spans="1:8" ht="12.75">
      <c r="A6" s="234"/>
      <c r="B6" s="244" t="s">
        <v>180</v>
      </c>
      <c r="C6" s="257">
        <f>C1-1</f>
        <v>4</v>
      </c>
      <c r="D6" s="235">
        <v>175</v>
      </c>
      <c r="E6" s="236">
        <f>D6/C6</f>
        <v>43.75</v>
      </c>
      <c r="F6" s="9">
        <f>E6/E8</f>
        <v>82.89473684210526</v>
      </c>
      <c r="G6" s="258">
        <f>FINV(0.05,C6,C8)</f>
        <v>2.6335320942809917</v>
      </c>
      <c r="H6" s="234"/>
    </row>
    <row r="7" spans="1:8" ht="12.75">
      <c r="A7" s="234"/>
      <c r="B7" s="244" t="s">
        <v>181</v>
      </c>
      <c r="C7" s="257">
        <f>C2-1</f>
        <v>9</v>
      </c>
      <c r="D7" s="235">
        <v>6</v>
      </c>
      <c r="E7" s="236">
        <f>D7/C7</f>
        <v>0.6666666666666666</v>
      </c>
      <c r="F7" s="72">
        <f>E7/$E$9</f>
        <v>2.2222222222222223</v>
      </c>
      <c r="G7" s="258">
        <f>FINV(0.05,C7,$C$9)</f>
        <v>1.8897189283822895</v>
      </c>
      <c r="H7" s="234"/>
    </row>
    <row r="8" spans="1:8" ht="12.75">
      <c r="A8" s="234"/>
      <c r="B8" s="244" t="s">
        <v>179</v>
      </c>
      <c r="C8" s="257">
        <f>C6*C7</f>
        <v>36</v>
      </c>
      <c r="D8" s="235">
        <f>D5-(D6+D7)</f>
        <v>19</v>
      </c>
      <c r="E8" s="236">
        <f>D8/C8</f>
        <v>0.5277777777777778</v>
      </c>
      <c r="F8" s="72">
        <f>E8/$E$9</f>
        <v>1.7592592592592593</v>
      </c>
      <c r="G8" s="258">
        <f>FINV(0.05,C8,$C$9)</f>
        <v>1.4292698844421334</v>
      </c>
      <c r="H8" s="234"/>
    </row>
    <row r="9" spans="1:8" ht="12.75">
      <c r="A9" s="234"/>
      <c r="B9" s="234" t="s">
        <v>210</v>
      </c>
      <c r="C9" s="298">
        <f>(C3-1)*C1*C2</f>
        <v>950</v>
      </c>
      <c r="D9" s="59">
        <f>E9*C9</f>
        <v>285</v>
      </c>
      <c r="E9" s="299">
        <v>0.3</v>
      </c>
      <c r="F9" s="72"/>
      <c r="G9" s="258"/>
      <c r="H9" s="234"/>
    </row>
    <row r="10" spans="1:8" ht="13.5" thickBot="1">
      <c r="A10" s="234"/>
      <c r="B10" s="234" t="s">
        <v>117</v>
      </c>
      <c r="C10" s="300">
        <f>C5+C9</f>
        <v>999</v>
      </c>
      <c r="D10" s="309">
        <f>D5+D9</f>
        <v>485</v>
      </c>
      <c r="E10" s="260"/>
      <c r="F10" s="259"/>
      <c r="G10" s="261"/>
      <c r="H10" s="234"/>
    </row>
    <row r="11" spans="1:8" ht="13.5" thickBot="1">
      <c r="A11" s="234"/>
      <c r="B11" s="234"/>
      <c r="C11" s="237"/>
      <c r="D11" s="72"/>
      <c r="E11" s="236"/>
      <c r="F11" s="72"/>
      <c r="G11" s="72"/>
      <c r="H11" s="234"/>
    </row>
    <row r="12" spans="1:8" ht="12.75">
      <c r="A12" s="234" t="s">
        <v>126</v>
      </c>
      <c r="B12" s="238" t="s">
        <v>58</v>
      </c>
      <c r="C12" s="71" t="s">
        <v>134</v>
      </c>
      <c r="D12" s="262" t="s">
        <v>82</v>
      </c>
      <c r="E12" s="72"/>
      <c r="F12" s="234"/>
      <c r="G12" s="234"/>
      <c r="H12" s="234"/>
    </row>
    <row r="13" spans="1:8" ht="13.5" thickBot="1">
      <c r="A13" s="234"/>
      <c r="B13" s="308">
        <f>SQRT(E8/(C2*C3))</f>
        <v>0.05137011669140814</v>
      </c>
      <c r="C13" s="239">
        <f>TINV(0.05,C8)</f>
        <v>2.0280939867826753</v>
      </c>
      <c r="D13" s="263">
        <f>B13*C13</f>
        <v>0.10418342476216919</v>
      </c>
      <c r="F13" s="234"/>
      <c r="G13" s="234"/>
      <c r="H13" s="234"/>
    </row>
    <row r="14" spans="1:8" ht="13.5" thickBot="1">
      <c r="A14" s="234"/>
      <c r="B14" s="234"/>
      <c r="C14" s="234"/>
      <c r="D14" s="234"/>
      <c r="E14" s="234"/>
      <c r="F14" s="234"/>
      <c r="G14" s="234"/>
      <c r="H14" s="234"/>
    </row>
    <row r="15" spans="1:8" ht="13.5" thickBot="1">
      <c r="A15" s="234" t="s">
        <v>128</v>
      </c>
      <c r="B15" s="264" t="s">
        <v>182</v>
      </c>
      <c r="C15" s="265"/>
      <c r="D15" s="265"/>
      <c r="E15" s="265"/>
      <c r="F15" s="266"/>
      <c r="G15" s="234"/>
      <c r="H15" s="234"/>
    </row>
    <row r="16" spans="1:8" ht="12.75">
      <c r="A16" s="234"/>
      <c r="B16" s="234"/>
      <c r="C16" s="234"/>
      <c r="D16" s="234"/>
      <c r="E16" s="234"/>
      <c r="F16" s="234"/>
      <c r="G16" s="234"/>
      <c r="H16" s="234"/>
    </row>
    <row r="17" spans="1:8" ht="13.5" thickBot="1">
      <c r="A17" s="234"/>
      <c r="B17" s="234"/>
      <c r="C17" s="234"/>
      <c r="D17" s="234"/>
      <c r="E17" s="234"/>
      <c r="F17" s="234"/>
      <c r="G17" s="234"/>
      <c r="H17" s="234"/>
    </row>
    <row r="18" spans="1:9" ht="12.75">
      <c r="A18" s="234" t="s">
        <v>136</v>
      </c>
      <c r="B18" s="267" t="s">
        <v>219</v>
      </c>
      <c r="C18" s="301" t="s">
        <v>154</v>
      </c>
      <c r="D18" s="301" t="s">
        <v>119</v>
      </c>
      <c r="E18" s="301" t="s">
        <v>206</v>
      </c>
      <c r="F18" s="301" t="s">
        <v>71</v>
      </c>
      <c r="G18" s="302" t="s">
        <v>208</v>
      </c>
      <c r="H18" s="238"/>
      <c r="I18" s="238"/>
    </row>
    <row r="19" spans="1:9" ht="12.75">
      <c r="A19" s="234"/>
      <c r="B19" s="268" t="s">
        <v>220</v>
      </c>
      <c r="C19" s="235">
        <f>C6</f>
        <v>4</v>
      </c>
      <c r="D19" s="235">
        <f>D6</f>
        <v>175</v>
      </c>
      <c r="E19" s="236">
        <f>D19/C19</f>
        <v>43.75</v>
      </c>
      <c r="F19" s="9">
        <f>E19/E20</f>
        <v>78.75</v>
      </c>
      <c r="G19" s="258">
        <f>FINV(0.05,C19,C20)</f>
        <v>2.5787391843767127</v>
      </c>
      <c r="H19" s="239"/>
      <c r="I19" s="239"/>
    </row>
    <row r="20" spans="1:9" ht="12.75">
      <c r="A20" s="234"/>
      <c r="B20" s="268" t="s">
        <v>210</v>
      </c>
      <c r="C20" s="235">
        <f>C7+C8</f>
        <v>45</v>
      </c>
      <c r="D20" s="235">
        <f>D7+D8</f>
        <v>25</v>
      </c>
      <c r="E20" s="236">
        <f>D20/C20</f>
        <v>0.5555555555555556</v>
      </c>
      <c r="F20" s="9"/>
      <c r="G20" s="258"/>
      <c r="H20" s="239"/>
      <c r="I20" s="239"/>
    </row>
    <row r="21" spans="1:9" ht="13.5" thickBot="1">
      <c r="A21" s="234"/>
      <c r="B21" s="269" t="s">
        <v>183</v>
      </c>
      <c r="C21" s="270">
        <f>C9</f>
        <v>950</v>
      </c>
      <c r="D21" s="270">
        <f>D9</f>
        <v>285</v>
      </c>
      <c r="E21" s="260">
        <f>E9</f>
        <v>0.3</v>
      </c>
      <c r="F21" s="259"/>
      <c r="G21" s="261"/>
      <c r="H21" s="239"/>
      <c r="I21" s="239"/>
    </row>
    <row r="22" spans="1:9" ht="12.75">
      <c r="A22" s="234"/>
      <c r="B22" s="238"/>
      <c r="C22" s="238"/>
      <c r="F22" s="240"/>
      <c r="G22" s="239"/>
      <c r="H22" s="239"/>
      <c r="I22" s="239"/>
    </row>
    <row r="23" spans="1:9" ht="13.5" thickBot="1">
      <c r="A23" s="234"/>
      <c r="B23" s="238"/>
      <c r="C23" s="241"/>
      <c r="F23" s="240"/>
      <c r="G23" s="239"/>
      <c r="H23" s="239"/>
      <c r="I23" s="239"/>
    </row>
    <row r="24" spans="1:9" ht="12.75">
      <c r="A24" s="234" t="s">
        <v>168</v>
      </c>
      <c r="B24" s="244" t="s">
        <v>1</v>
      </c>
      <c r="C24" s="244" t="s">
        <v>60</v>
      </c>
      <c r="D24" s="2" t="s">
        <v>154</v>
      </c>
      <c r="E24" s="2" t="s">
        <v>134</v>
      </c>
      <c r="F24" s="303" t="s">
        <v>135</v>
      </c>
      <c r="G24" s="239"/>
      <c r="H24" s="239"/>
      <c r="I24" s="239"/>
    </row>
    <row r="25" spans="1:9" ht="13.5" thickBot="1">
      <c r="A25" s="234"/>
      <c r="B25" s="304">
        <f>E9</f>
        <v>0.3</v>
      </c>
      <c r="C25" s="304">
        <f>SQRT(B25/C3)</f>
        <v>0.1224744871391589</v>
      </c>
      <c r="D25" s="305">
        <f>C9</f>
        <v>950</v>
      </c>
      <c r="E25" s="306">
        <f>TINV(0.05,D25)</f>
        <v>1.9624641984018907</v>
      </c>
      <c r="F25" s="307">
        <f>C25*E25</f>
        <v>0.24035179622823213</v>
      </c>
      <c r="G25" s="239"/>
      <c r="H25" s="239"/>
      <c r="I25" s="239"/>
    </row>
    <row r="26" spans="1:8" ht="12.75">
      <c r="A26" s="242"/>
      <c r="B26" s="242"/>
      <c r="C26" s="242"/>
      <c r="D26" s="242"/>
      <c r="E26" s="242"/>
      <c r="F26" s="242"/>
      <c r="G26" s="242"/>
      <c r="H26" s="234"/>
    </row>
    <row r="27" spans="1:8" ht="12.75">
      <c r="A27" s="243" t="s">
        <v>158</v>
      </c>
      <c r="B27" s="72"/>
      <c r="C27" s="72"/>
      <c r="D27" s="72"/>
      <c r="E27" s="72"/>
      <c r="F27" s="72"/>
      <c r="G27" s="72"/>
      <c r="H27" s="234"/>
    </row>
    <row r="28" spans="1:8" ht="12.75">
      <c r="A28" s="70"/>
      <c r="B28" s="2" t="s">
        <v>192</v>
      </c>
      <c r="C28" s="70" t="s">
        <v>186</v>
      </c>
      <c r="D28" s="70">
        <v>100</v>
      </c>
      <c r="E28" s="70"/>
      <c r="F28" s="70"/>
      <c r="G28" s="70"/>
      <c r="H28" s="244"/>
    </row>
    <row r="29" spans="1:8" ht="12.75">
      <c r="A29" s="2"/>
      <c r="B29" s="17" t="s">
        <v>192</v>
      </c>
      <c r="C29" s="251" t="s">
        <v>34</v>
      </c>
      <c r="D29" s="70">
        <v>15</v>
      </c>
      <c r="E29" s="70"/>
      <c r="F29" s="70"/>
      <c r="G29" s="70"/>
      <c r="H29" s="244"/>
    </row>
    <row r="30" spans="1:8" ht="12.75">
      <c r="A30" s="70"/>
      <c r="B30" s="17" t="s">
        <v>193</v>
      </c>
      <c r="C30" s="250" t="s">
        <v>184</v>
      </c>
      <c r="D30" s="70">
        <v>40</v>
      </c>
      <c r="E30" s="70"/>
      <c r="F30" s="70"/>
      <c r="G30" s="70"/>
      <c r="H30" s="244"/>
    </row>
    <row r="31" spans="1:8" ht="12.75">
      <c r="A31" s="70"/>
      <c r="B31" s="17" t="s">
        <v>193</v>
      </c>
      <c r="C31" s="70" t="s">
        <v>185</v>
      </c>
      <c r="D31" s="70">
        <v>10</v>
      </c>
      <c r="E31" s="70"/>
      <c r="G31" s="70"/>
      <c r="H31" s="244"/>
    </row>
    <row r="32" spans="1:8" ht="12.75">
      <c r="A32" s="2"/>
      <c r="C32" s="2" t="s">
        <v>187</v>
      </c>
      <c r="D32" s="271">
        <v>-0.6</v>
      </c>
      <c r="E32" s="70"/>
      <c r="G32" s="70"/>
      <c r="H32" s="244"/>
    </row>
    <row r="33" spans="1:8" ht="12.75">
      <c r="A33" s="244"/>
      <c r="B33" s="244"/>
      <c r="C33" s="244"/>
      <c r="D33" s="244"/>
      <c r="E33" s="244"/>
      <c r="F33" s="244"/>
      <c r="G33" s="244"/>
      <c r="H33" s="244"/>
    </row>
    <row r="34" spans="1:8" ht="13.5" thickBot="1">
      <c r="A34" s="244" t="s">
        <v>123</v>
      </c>
      <c r="B34" s="244" t="s">
        <v>188</v>
      </c>
      <c r="C34" s="244">
        <f>D31^2</f>
        <v>100</v>
      </c>
      <c r="D34" s="244"/>
      <c r="E34" s="244"/>
      <c r="F34" s="244"/>
      <c r="G34" s="244"/>
      <c r="H34" s="244"/>
    </row>
    <row r="35" spans="1:8" ht="13.5" thickBot="1">
      <c r="A35" s="244"/>
      <c r="B35" s="275" t="s">
        <v>189</v>
      </c>
      <c r="C35" s="276">
        <f>C34*$D$32^2</f>
        <v>36</v>
      </c>
      <c r="D35" s="244"/>
      <c r="E35" s="244"/>
      <c r="F35" s="244"/>
      <c r="G35" s="244"/>
      <c r="H35" s="244"/>
    </row>
    <row r="36" spans="1:8" ht="12.75">
      <c r="A36" s="244"/>
      <c r="B36" s="244"/>
      <c r="C36" s="244"/>
      <c r="D36" s="244"/>
      <c r="E36" s="244"/>
      <c r="F36" s="244"/>
      <c r="G36" s="244"/>
      <c r="H36" s="244"/>
    </row>
    <row r="37" spans="1:8" ht="13.5" thickBot="1">
      <c r="A37" s="244" t="s">
        <v>125</v>
      </c>
      <c r="B37" s="244" t="s">
        <v>194</v>
      </c>
      <c r="C37" s="244">
        <f>D29^2</f>
        <v>225</v>
      </c>
      <c r="D37" s="244"/>
      <c r="E37" s="244"/>
      <c r="F37" s="244"/>
      <c r="G37" s="244"/>
      <c r="H37" s="244"/>
    </row>
    <row r="38" spans="1:8" ht="13.5" thickBot="1">
      <c r="A38" s="244"/>
      <c r="B38" s="275" t="s">
        <v>195</v>
      </c>
      <c r="C38" s="276">
        <f>C37*$D$32^2</f>
        <v>81</v>
      </c>
      <c r="D38" s="244"/>
      <c r="E38" s="244"/>
      <c r="F38" s="244"/>
      <c r="G38" s="244"/>
      <c r="H38" s="244"/>
    </row>
    <row r="39" spans="1:8" ht="12.75">
      <c r="A39" s="244"/>
      <c r="B39" s="244"/>
      <c r="C39" s="244"/>
      <c r="D39" s="244"/>
      <c r="E39" s="244"/>
      <c r="F39" s="244"/>
      <c r="G39" s="244"/>
      <c r="H39" s="244"/>
    </row>
    <row r="40" spans="1:8" ht="12.75">
      <c r="A40" s="244" t="s">
        <v>126</v>
      </c>
      <c r="B40" s="244" t="s">
        <v>113</v>
      </c>
      <c r="C40" s="244">
        <v>52</v>
      </c>
      <c r="D40" s="244"/>
      <c r="E40" s="244"/>
      <c r="F40" s="244"/>
      <c r="G40" s="244"/>
      <c r="H40" s="244"/>
    </row>
    <row r="41" spans="1:8" ht="12.75">
      <c r="A41" s="244"/>
      <c r="B41" s="244" t="s">
        <v>190</v>
      </c>
      <c r="C41" s="244">
        <f>(C40-D30)/D31</f>
        <v>1.2</v>
      </c>
      <c r="D41" s="244"/>
      <c r="E41" s="244"/>
      <c r="F41" s="244"/>
      <c r="G41" s="244"/>
      <c r="H41" s="244"/>
    </row>
    <row r="42" spans="1:8" ht="13.5" thickBot="1">
      <c r="A42" s="244"/>
      <c r="B42" s="244" t="s">
        <v>191</v>
      </c>
      <c r="C42" s="244">
        <f>C41*D32</f>
        <v>-0.72</v>
      </c>
      <c r="D42" s="244"/>
      <c r="E42" s="244"/>
      <c r="F42" s="244"/>
      <c r="G42" s="244"/>
      <c r="H42" s="244"/>
    </row>
    <row r="43" spans="1:8" ht="13.5" thickBot="1">
      <c r="A43" s="244"/>
      <c r="B43" s="275" t="s">
        <v>112</v>
      </c>
      <c r="C43" s="276">
        <f>D28+C42*D29</f>
        <v>89.2</v>
      </c>
      <c r="D43" s="244"/>
      <c r="E43" s="244"/>
      <c r="F43" s="244"/>
      <c r="G43" s="244"/>
      <c r="H43" s="244"/>
    </row>
    <row r="44" spans="1:8" ht="12.75">
      <c r="A44" s="246"/>
      <c r="B44" s="242"/>
      <c r="C44" s="242"/>
      <c r="D44" s="242"/>
      <c r="E44" s="242"/>
      <c r="F44" s="242"/>
      <c r="G44" s="242"/>
      <c r="H44" s="234"/>
    </row>
    <row r="45" spans="1:8" ht="12.75">
      <c r="A45" s="243" t="s">
        <v>159</v>
      </c>
      <c r="B45" s="72"/>
      <c r="C45" s="72"/>
      <c r="D45" s="72"/>
      <c r="E45" s="72"/>
      <c r="F45" s="72"/>
      <c r="G45" s="72"/>
      <c r="H45" s="234"/>
    </row>
    <row r="46" spans="1:8" ht="12.75">
      <c r="A46" s="72" t="s">
        <v>177</v>
      </c>
      <c r="B46" s="70" t="s">
        <v>196</v>
      </c>
      <c r="C46" s="70" t="s">
        <v>197</v>
      </c>
      <c r="D46" s="70" t="s">
        <v>198</v>
      </c>
      <c r="E46" s="72"/>
      <c r="F46" s="72"/>
      <c r="G46" s="234"/>
      <c r="H46" s="234"/>
    </row>
    <row r="47" spans="1:8" ht="12.75">
      <c r="A47" s="72" t="s">
        <v>153</v>
      </c>
      <c r="B47" s="237">
        <v>10</v>
      </c>
      <c r="C47" s="250">
        <v>1</v>
      </c>
      <c r="D47" s="237">
        <v>15</v>
      </c>
      <c r="E47" s="237">
        <f>SUM(B47:D47)</f>
        <v>26</v>
      </c>
      <c r="F47" s="72" t="s">
        <v>43</v>
      </c>
      <c r="G47" s="234"/>
      <c r="H47" s="234"/>
    </row>
    <row r="48" spans="1:8" ht="12.75">
      <c r="A48" s="72" t="s">
        <v>161</v>
      </c>
      <c r="B48" s="236">
        <v>2.5</v>
      </c>
      <c r="C48" s="271">
        <v>1.5</v>
      </c>
      <c r="D48" s="39">
        <v>4.5</v>
      </c>
      <c r="E48" s="252"/>
      <c r="F48" s="72"/>
      <c r="G48" s="234"/>
      <c r="H48" s="234"/>
    </row>
    <row r="49" spans="1:8" ht="12.75">
      <c r="A49" s="72" t="s">
        <v>59</v>
      </c>
      <c r="B49" s="236">
        <v>100</v>
      </c>
      <c r="C49" s="271">
        <f>C48^2</f>
        <v>2.25</v>
      </c>
      <c r="D49" s="236">
        <v>350</v>
      </c>
      <c r="E49" s="252">
        <f>SUM(B49:D49)</f>
        <v>452.25</v>
      </c>
      <c r="F49" s="72" t="s">
        <v>46</v>
      </c>
      <c r="G49" s="234"/>
      <c r="H49" s="234"/>
    </row>
    <row r="50" spans="1:8" ht="12.75">
      <c r="A50" s="72" t="s">
        <v>25</v>
      </c>
      <c r="B50" s="236">
        <f>B47*B48</f>
        <v>25</v>
      </c>
      <c r="C50" s="271">
        <f>C47*C48</f>
        <v>1.5</v>
      </c>
      <c r="D50" s="236">
        <f>D47*D48</f>
        <v>67.5</v>
      </c>
      <c r="E50" s="252">
        <f>SUM(B50:D50)</f>
        <v>94</v>
      </c>
      <c r="F50" s="72" t="s">
        <v>45</v>
      </c>
      <c r="G50" s="236">
        <f>E50^2/E47</f>
        <v>339.84615384615387</v>
      </c>
      <c r="H50" s="247" t="s">
        <v>56</v>
      </c>
    </row>
    <row r="51" spans="1:8" ht="12.75">
      <c r="A51" s="72" t="s">
        <v>162</v>
      </c>
      <c r="B51" s="236">
        <f>B53/B52</f>
        <v>4.166666666666667</v>
      </c>
      <c r="C51" s="299" t="s">
        <v>57</v>
      </c>
      <c r="D51" s="236">
        <f>D53/D52</f>
        <v>3.3035714285714284</v>
      </c>
      <c r="E51" s="252"/>
      <c r="F51" s="72"/>
      <c r="G51" s="234"/>
      <c r="H51" s="234"/>
    </row>
    <row r="52" spans="1:8" ht="12.75">
      <c r="A52" s="72" t="s">
        <v>154</v>
      </c>
      <c r="B52" s="237">
        <f>B47-1</f>
        <v>9</v>
      </c>
      <c r="C52" s="250">
        <f>C47-1</f>
        <v>0</v>
      </c>
      <c r="D52" s="237">
        <f>D47-1</f>
        <v>14</v>
      </c>
      <c r="E52" s="252">
        <f>SUM(B52:D52)</f>
        <v>23</v>
      </c>
      <c r="F52" s="72" t="s">
        <v>44</v>
      </c>
      <c r="G52" s="234"/>
      <c r="H52" s="234"/>
    </row>
    <row r="53" spans="1:8" ht="12.75">
      <c r="A53" s="72" t="s">
        <v>119</v>
      </c>
      <c r="B53" s="236">
        <f>B49-B50^2/B47</f>
        <v>37.5</v>
      </c>
      <c r="C53" s="271">
        <f>C49-C50^2/C47</f>
        <v>0</v>
      </c>
      <c r="D53" s="236">
        <f>D49-D50^2/D47</f>
        <v>46.25</v>
      </c>
      <c r="E53" s="252">
        <f>SUM(B53:D53)</f>
        <v>83.75</v>
      </c>
      <c r="F53" s="72" t="s">
        <v>47</v>
      </c>
      <c r="G53" s="234"/>
      <c r="H53" s="234"/>
    </row>
    <row r="54" spans="1:8" ht="12.75">
      <c r="A54" s="72" t="s">
        <v>48</v>
      </c>
      <c r="B54" s="236">
        <f>B53/B47</f>
        <v>3.75</v>
      </c>
      <c r="C54" s="271">
        <f>C53/C47</f>
        <v>0</v>
      </c>
      <c r="D54" s="236">
        <f>D53/D47</f>
        <v>3.0833333333333335</v>
      </c>
      <c r="E54" s="252">
        <f>SUM(B54:D54)</f>
        <v>6.833333333333334</v>
      </c>
      <c r="F54" s="72"/>
      <c r="G54" s="234"/>
      <c r="H54" s="234"/>
    </row>
    <row r="55" spans="1:8" ht="12.75">
      <c r="A55" s="72" t="s">
        <v>178</v>
      </c>
      <c r="B55" s="236">
        <f>SQRT(B51/B47)</f>
        <v>0.6454972243679028</v>
      </c>
      <c r="C55" s="299" t="s">
        <v>57</v>
      </c>
      <c r="D55" s="236">
        <f>SQRT(D51/D47)</f>
        <v>0.46929531772445293</v>
      </c>
      <c r="E55" s="252"/>
      <c r="F55" s="72"/>
      <c r="G55" s="234"/>
      <c r="H55" s="234"/>
    </row>
    <row r="56" spans="1:8" ht="12.75">
      <c r="A56" s="234" t="s">
        <v>24</v>
      </c>
      <c r="B56" s="310">
        <f>SQRT(B51)</f>
        <v>2.041241452319315</v>
      </c>
      <c r="C56" s="311" t="s">
        <v>57</v>
      </c>
      <c r="D56" s="310">
        <f>SQRT(D51)</f>
        <v>1.8175729499999247</v>
      </c>
      <c r="E56" s="245"/>
      <c r="F56" s="234"/>
      <c r="G56" s="234"/>
      <c r="H56" s="234"/>
    </row>
    <row r="57" spans="1:8" ht="12.75">
      <c r="A57" s="234" t="s">
        <v>94</v>
      </c>
      <c r="B57" s="310">
        <f>B50^2/B47</f>
        <v>62.5</v>
      </c>
      <c r="C57" s="304">
        <f>C50^2/C47</f>
        <v>2.25</v>
      </c>
      <c r="D57" s="310">
        <f>D50^2/D47</f>
        <v>303.75</v>
      </c>
      <c r="E57" s="252">
        <f>SUM(B57:D57)</f>
        <v>368.5</v>
      </c>
      <c r="F57" s="234" t="s">
        <v>49</v>
      </c>
      <c r="G57" s="234"/>
      <c r="H57" s="234"/>
    </row>
    <row r="58" spans="1:8" ht="12.75">
      <c r="A58" s="234"/>
      <c r="B58" s="234"/>
      <c r="C58" s="234"/>
      <c r="D58" s="234"/>
      <c r="E58" s="234"/>
      <c r="F58" s="234"/>
      <c r="G58" s="234"/>
      <c r="H58" s="234"/>
    </row>
    <row r="59" spans="1:8" ht="12.75">
      <c r="A59" s="295"/>
      <c r="B59" s="242"/>
      <c r="C59" s="242"/>
      <c r="D59" s="242"/>
      <c r="E59" s="242"/>
      <c r="F59" s="242"/>
      <c r="G59" s="242"/>
      <c r="H59" s="234"/>
    </row>
    <row r="60" spans="1:8" ht="12.75">
      <c r="A60" s="243" t="s">
        <v>170</v>
      </c>
      <c r="B60" s="234"/>
      <c r="C60" s="234"/>
      <c r="D60" s="234"/>
      <c r="E60" s="234"/>
      <c r="F60" s="234"/>
      <c r="G60" s="234"/>
      <c r="H60" s="234"/>
    </row>
    <row r="61" spans="2:8" ht="12.75">
      <c r="B61" s="70" t="s">
        <v>196</v>
      </c>
      <c r="C61" s="70" t="s">
        <v>197</v>
      </c>
      <c r="D61" s="70" t="s">
        <v>198</v>
      </c>
      <c r="E61" s="72"/>
      <c r="F61" s="72"/>
      <c r="G61" s="234"/>
      <c r="H61" s="234"/>
    </row>
    <row r="62" spans="1:8" ht="12.75">
      <c r="A62" s="72" t="s">
        <v>153</v>
      </c>
      <c r="B62" s="237">
        <v>16</v>
      </c>
      <c r="C62" s="237">
        <v>16</v>
      </c>
      <c r="D62" s="237">
        <v>16</v>
      </c>
      <c r="E62" s="237">
        <f>SUM(B62:D62)</f>
        <v>48</v>
      </c>
      <c r="F62" s="252" t="s">
        <v>43</v>
      </c>
      <c r="G62" s="245"/>
      <c r="H62" s="245"/>
    </row>
    <row r="63" spans="1:8" ht="12.75">
      <c r="A63" s="72" t="s">
        <v>161</v>
      </c>
      <c r="B63" s="236">
        <v>2</v>
      </c>
      <c r="C63" s="236">
        <v>1.2</v>
      </c>
      <c r="D63" s="39">
        <v>4.7</v>
      </c>
      <c r="E63" s="252"/>
      <c r="F63" s="252"/>
      <c r="G63" s="245"/>
      <c r="H63" s="245"/>
    </row>
    <row r="64" spans="1:8" ht="12.75">
      <c r="A64" s="72" t="s">
        <v>59</v>
      </c>
      <c r="B64" s="236">
        <v>300</v>
      </c>
      <c r="C64" s="236">
        <v>160</v>
      </c>
      <c r="D64" s="236">
        <v>450</v>
      </c>
      <c r="E64" s="252">
        <f>SUM(B64:D64)</f>
        <v>910</v>
      </c>
      <c r="F64" s="252" t="s">
        <v>46</v>
      </c>
      <c r="G64" s="245"/>
      <c r="H64" s="245"/>
    </row>
    <row r="65" spans="1:8" ht="12.75">
      <c r="A65" s="72" t="s">
        <v>25</v>
      </c>
      <c r="B65" s="236">
        <f>B62*B63</f>
        <v>32</v>
      </c>
      <c r="C65" s="236">
        <f>C62*C63</f>
        <v>19.2</v>
      </c>
      <c r="D65" s="236">
        <f>D62*D63</f>
        <v>75.2</v>
      </c>
      <c r="E65" s="252">
        <f>SUM(B65:D65)</f>
        <v>126.4</v>
      </c>
      <c r="F65" s="252" t="s">
        <v>45</v>
      </c>
      <c r="G65" s="252">
        <f>E65^2/E62</f>
        <v>332.85333333333335</v>
      </c>
      <c r="H65" s="272" t="s">
        <v>201</v>
      </c>
    </row>
    <row r="66" spans="1:8" ht="12.75">
      <c r="A66" s="72" t="s">
        <v>162</v>
      </c>
      <c r="B66" s="236">
        <f>B68/B67</f>
        <v>15.733333333333333</v>
      </c>
      <c r="C66" s="236">
        <f>C68/C67</f>
        <v>9.130666666666666</v>
      </c>
      <c r="D66" s="236">
        <f>D68/D67</f>
        <v>6.43733333333333</v>
      </c>
      <c r="E66" s="252"/>
      <c r="F66" s="252"/>
      <c r="G66" s="245"/>
      <c r="H66" s="245"/>
    </row>
    <row r="67" spans="1:8" ht="12.75">
      <c r="A67" s="72" t="s">
        <v>154</v>
      </c>
      <c r="B67" s="237">
        <f>B62-1</f>
        <v>15</v>
      </c>
      <c r="C67" s="237">
        <f>C62-1</f>
        <v>15</v>
      </c>
      <c r="D67" s="237">
        <f>D62-1</f>
        <v>15</v>
      </c>
      <c r="E67" s="237">
        <f>SUM(B67:D67)</f>
        <v>45</v>
      </c>
      <c r="F67" s="252" t="s">
        <v>44</v>
      </c>
      <c r="G67" s="245"/>
      <c r="H67" s="245"/>
    </row>
    <row r="68" spans="1:8" ht="12.75">
      <c r="A68" s="72" t="s">
        <v>119</v>
      </c>
      <c r="B68" s="236">
        <f>B64-B65^2/B62</f>
        <v>236</v>
      </c>
      <c r="C68" s="236">
        <f>C64-C65^2/C62</f>
        <v>136.96</v>
      </c>
      <c r="D68" s="236">
        <f>D64-D65^2/D62</f>
        <v>96.55999999999995</v>
      </c>
      <c r="E68" s="252">
        <f>SUM(B68:D68)</f>
        <v>469.52</v>
      </c>
      <c r="F68" s="252" t="s">
        <v>47</v>
      </c>
      <c r="G68" s="245"/>
      <c r="H68" s="245"/>
    </row>
    <row r="69" spans="1:8" ht="12.75">
      <c r="A69" s="72" t="s">
        <v>48</v>
      </c>
      <c r="B69" s="236">
        <f>B68/B62</f>
        <v>14.75</v>
      </c>
      <c r="C69" s="236">
        <f>C68/C62</f>
        <v>8.56</v>
      </c>
      <c r="D69" s="236">
        <f>D68/D62</f>
        <v>6.034999999999997</v>
      </c>
      <c r="E69" s="252"/>
      <c r="F69" s="252"/>
      <c r="G69" s="245"/>
      <c r="H69" s="245"/>
    </row>
    <row r="70" spans="1:8" ht="12.75">
      <c r="A70" s="72" t="s">
        <v>178</v>
      </c>
      <c r="B70" s="236">
        <f>SQRT(B66/B62)</f>
        <v>0.991631652042901</v>
      </c>
      <c r="C70" s="236">
        <f>SQRT(C66/C62)</f>
        <v>0.7554248252914824</v>
      </c>
      <c r="D70" s="236">
        <f>SQRT(D66/D62)</f>
        <v>0.6342975116877987</v>
      </c>
      <c r="E70" s="252"/>
      <c r="F70" s="252"/>
      <c r="G70" s="245"/>
      <c r="H70" s="245"/>
    </row>
    <row r="71" spans="1:8" ht="12.75">
      <c r="A71" s="234" t="s">
        <v>24</v>
      </c>
      <c r="B71" s="310">
        <f>SQRT(B66)</f>
        <v>3.966526608171604</v>
      </c>
      <c r="C71" s="310">
        <f>SQRT(C66)</f>
        <v>3.0216993011659294</v>
      </c>
      <c r="D71" s="310">
        <f>SQRT(D66)</f>
        <v>2.5371900467511947</v>
      </c>
      <c r="E71" s="245"/>
      <c r="F71" s="245"/>
      <c r="G71" s="245"/>
      <c r="H71" s="245"/>
    </row>
    <row r="72" spans="1:8" ht="12.75">
      <c r="A72" s="234" t="s">
        <v>94</v>
      </c>
      <c r="B72" s="310">
        <f>B65^2/B62</f>
        <v>64</v>
      </c>
      <c r="C72" s="310">
        <f>C65^2/C62</f>
        <v>23.04</v>
      </c>
      <c r="D72" s="310">
        <f>D65^2/D62</f>
        <v>353.44000000000005</v>
      </c>
      <c r="E72" s="252">
        <f>SUM(B72:D72)</f>
        <v>440.48</v>
      </c>
      <c r="F72" s="245" t="s">
        <v>49</v>
      </c>
      <c r="G72" s="245"/>
      <c r="H72" s="245"/>
    </row>
    <row r="73" spans="1:8" ht="12.75">
      <c r="A73" s="234"/>
      <c r="B73" s="234"/>
      <c r="C73" s="234"/>
      <c r="D73" s="234"/>
      <c r="E73" s="234"/>
      <c r="F73" s="234"/>
      <c r="G73" s="234"/>
      <c r="H73" s="234"/>
    </row>
    <row r="74" spans="1:8" ht="13.5" thickBot="1">
      <c r="A74" s="234" t="s">
        <v>123</v>
      </c>
      <c r="B74" s="234"/>
      <c r="C74" s="234"/>
      <c r="D74" s="234"/>
      <c r="E74" s="234"/>
      <c r="F74" s="234"/>
      <c r="G74" s="234"/>
      <c r="H74" s="234"/>
    </row>
    <row r="75" spans="1:8" ht="12.75">
      <c r="A75" s="273" t="s">
        <v>215</v>
      </c>
      <c r="B75" s="312">
        <f>E72-G65</f>
        <v>107.62666666666667</v>
      </c>
      <c r="C75" s="72"/>
      <c r="D75" s="72"/>
      <c r="E75" s="72"/>
      <c r="F75" s="72"/>
      <c r="G75" s="72"/>
      <c r="H75" s="72"/>
    </row>
    <row r="76" spans="1:8" ht="13.5" thickBot="1">
      <c r="A76" s="274" t="s">
        <v>217</v>
      </c>
      <c r="B76" s="293">
        <f>E68</f>
        <v>469.52</v>
      </c>
      <c r="C76" s="72"/>
      <c r="D76" s="72"/>
      <c r="E76" s="72"/>
      <c r="F76" s="72"/>
      <c r="G76" s="72"/>
      <c r="H76" s="72"/>
    </row>
    <row r="77" spans="1:8" ht="13.5" thickBot="1">
      <c r="A77" s="72"/>
      <c r="B77" s="248"/>
      <c r="C77" s="72"/>
      <c r="D77" s="72"/>
      <c r="E77" s="72"/>
      <c r="F77" s="72"/>
      <c r="G77" s="72"/>
      <c r="H77" s="72"/>
    </row>
    <row r="78" spans="1:8" ht="12.75">
      <c r="A78" s="72" t="s">
        <v>125</v>
      </c>
      <c r="B78" s="277" t="s">
        <v>219</v>
      </c>
      <c r="C78" s="301" t="s">
        <v>154</v>
      </c>
      <c r="D78" s="301" t="s">
        <v>119</v>
      </c>
      <c r="E78" s="301" t="s">
        <v>206</v>
      </c>
      <c r="F78" s="301" t="s">
        <v>71</v>
      </c>
      <c r="G78" s="302" t="s">
        <v>50</v>
      </c>
      <c r="H78" s="72"/>
    </row>
    <row r="79" spans="1:8" ht="12.75">
      <c r="A79" s="72"/>
      <c r="B79" s="268" t="s">
        <v>220</v>
      </c>
      <c r="C79" s="235">
        <v>2</v>
      </c>
      <c r="D79" s="313">
        <f>$B$75</f>
        <v>107.62666666666667</v>
      </c>
      <c r="E79" s="249">
        <f>D79/C79</f>
        <v>53.81333333333333</v>
      </c>
      <c r="F79" s="18">
        <f>E79/E80</f>
        <v>5.157607769637076</v>
      </c>
      <c r="G79" s="314">
        <f>FINV(0.05,C79,C80)</f>
        <v>3.2043172921638767</v>
      </c>
      <c r="H79" s="72"/>
    </row>
    <row r="80" spans="1:8" ht="13.5" thickBot="1">
      <c r="A80" s="72"/>
      <c r="B80" s="269" t="s">
        <v>210</v>
      </c>
      <c r="C80" s="278">
        <f>E67</f>
        <v>45</v>
      </c>
      <c r="D80" s="315">
        <f>$B$76</f>
        <v>469.52</v>
      </c>
      <c r="E80" s="279">
        <f>D80/C80</f>
        <v>10.433777777777777</v>
      </c>
      <c r="F80" s="288"/>
      <c r="G80" s="316"/>
      <c r="H80" s="72"/>
    </row>
    <row r="81" spans="1:8" ht="13.5" thickBot="1">
      <c r="A81" s="72"/>
      <c r="B81" s="248"/>
      <c r="C81" s="72"/>
      <c r="D81" s="72"/>
      <c r="E81" s="72"/>
      <c r="F81" s="72"/>
      <c r="G81" s="72"/>
      <c r="H81" s="72"/>
    </row>
    <row r="82" spans="1:8" ht="12.75">
      <c r="A82" s="72" t="s">
        <v>126</v>
      </c>
      <c r="B82" s="277" t="s">
        <v>219</v>
      </c>
      <c r="C82" s="301" t="s">
        <v>154</v>
      </c>
      <c r="D82" s="301" t="s">
        <v>119</v>
      </c>
      <c r="E82" s="301" t="s">
        <v>206</v>
      </c>
      <c r="F82" s="301" t="s">
        <v>71</v>
      </c>
      <c r="G82" s="256"/>
      <c r="H82" s="72"/>
    </row>
    <row r="83" spans="1:8" ht="12.75">
      <c r="A83" s="72"/>
      <c r="B83" s="268" t="s">
        <v>220</v>
      </c>
      <c r="C83" s="235">
        <v>2</v>
      </c>
      <c r="D83" s="313">
        <f>$B$75</f>
        <v>107.62666666666667</v>
      </c>
      <c r="E83" s="249">
        <f>D83/C83</f>
        <v>53.81333333333333</v>
      </c>
      <c r="F83" s="18">
        <f>E83/E84</f>
        <v>2.1525333333333334</v>
      </c>
      <c r="G83" s="314">
        <f>FINV(0.05,C83,1000000000)</f>
        <v>2.995730072274455</v>
      </c>
      <c r="H83" s="72"/>
    </row>
    <row r="84" spans="1:8" ht="13.5" thickBot="1">
      <c r="A84" s="72"/>
      <c r="B84" s="269" t="s">
        <v>210</v>
      </c>
      <c r="C84" s="280" t="s">
        <v>87</v>
      </c>
      <c r="D84" s="315">
        <f>$B$76</f>
        <v>469.52</v>
      </c>
      <c r="E84" s="279">
        <v>25</v>
      </c>
      <c r="F84" s="288"/>
      <c r="G84" s="316"/>
      <c r="H84" s="72"/>
    </row>
    <row r="85" spans="1:8" ht="12.75">
      <c r="A85" s="72"/>
      <c r="B85" s="248"/>
      <c r="C85" s="72"/>
      <c r="D85" s="72"/>
      <c r="E85" s="72"/>
      <c r="F85" s="72"/>
      <c r="G85" s="72"/>
      <c r="H85" s="72"/>
    </row>
    <row r="86" spans="1:8" ht="13.5" thickBot="1">
      <c r="A86" s="72" t="s">
        <v>128</v>
      </c>
      <c r="B86" s="248"/>
      <c r="C86" s="72"/>
      <c r="D86" s="72"/>
      <c r="E86" s="72"/>
      <c r="F86" s="72"/>
      <c r="G86" s="72"/>
      <c r="H86" s="72"/>
    </row>
    <row r="87" spans="1:8" ht="12.75">
      <c r="A87" s="72" t="s">
        <v>202</v>
      </c>
      <c r="B87" s="281">
        <v>0</v>
      </c>
      <c r="C87" s="282">
        <v>-1</v>
      </c>
      <c r="D87" s="283">
        <v>1</v>
      </c>
      <c r="E87" s="72"/>
      <c r="F87" s="72"/>
      <c r="G87" s="72"/>
      <c r="H87" s="72"/>
    </row>
    <row r="88" spans="1:8" ht="13.5" thickBot="1">
      <c r="A88" s="72" t="s">
        <v>85</v>
      </c>
      <c r="B88" s="284">
        <v>-2</v>
      </c>
      <c r="C88" s="278">
        <v>1</v>
      </c>
      <c r="D88" s="285">
        <v>1</v>
      </c>
      <c r="E88" s="72"/>
      <c r="F88" s="72"/>
      <c r="G88" s="72"/>
      <c r="H88" s="72"/>
    </row>
    <row r="89" spans="1:8" ht="13.5" thickBot="1">
      <c r="A89" s="72"/>
      <c r="B89" s="235"/>
      <c r="C89" s="235"/>
      <c r="D89" s="235"/>
      <c r="E89" s="72"/>
      <c r="F89" s="72"/>
      <c r="G89" s="72"/>
      <c r="H89" s="72"/>
    </row>
    <row r="90" spans="1:8" ht="12.75">
      <c r="A90" s="72"/>
      <c r="B90" s="253"/>
      <c r="C90" s="286" t="s">
        <v>119</v>
      </c>
      <c r="D90" s="42" t="s">
        <v>206</v>
      </c>
      <c r="E90" s="287" t="s">
        <v>30</v>
      </c>
      <c r="F90" s="72"/>
      <c r="G90" s="72"/>
      <c r="H90" s="72"/>
    </row>
    <row r="91" spans="1:8" ht="12.75">
      <c r="A91" s="72" t="s">
        <v>203</v>
      </c>
      <c r="B91" s="257" t="s">
        <v>199</v>
      </c>
      <c r="C91" s="248">
        <f>($B$62*SUMPRODUCT(B63:D63,B87:D87)^2)/SUMSQ(B87:D87)</f>
        <v>98</v>
      </c>
      <c r="D91" s="317">
        <f>C91</f>
        <v>98</v>
      </c>
      <c r="E91" s="314">
        <f>C91/$D$79</f>
        <v>0.9105550049554014</v>
      </c>
      <c r="F91" s="72"/>
      <c r="G91" s="72"/>
      <c r="H91" s="72"/>
    </row>
    <row r="92" spans="1:8" ht="12.75">
      <c r="A92" s="72"/>
      <c r="B92" s="257" t="s">
        <v>200</v>
      </c>
      <c r="C92" s="248">
        <f>($B$62*SUMPRODUCT(B63:D63,B88:D88)^2)/SUMSQ(B88:D88)</f>
        <v>9.62666666666667</v>
      </c>
      <c r="D92" s="317">
        <f>C92</f>
        <v>9.62666666666667</v>
      </c>
      <c r="E92" s="314">
        <f>C92/$D$79</f>
        <v>0.08944499504459864</v>
      </c>
      <c r="F92" s="72"/>
      <c r="G92" s="72"/>
      <c r="H92" s="72"/>
    </row>
    <row r="93" spans="1:8" ht="13.5" thickBot="1">
      <c r="A93" s="72"/>
      <c r="B93" s="284" t="s">
        <v>216</v>
      </c>
      <c r="C93" s="288">
        <f>D79-(C91+C92)</f>
        <v>0</v>
      </c>
      <c r="D93" s="289" t="s">
        <v>57</v>
      </c>
      <c r="E93" s="261"/>
      <c r="F93" s="72"/>
      <c r="G93" s="72"/>
      <c r="H93" s="72"/>
    </row>
    <row r="94" spans="1:8" ht="12.75">
      <c r="A94" s="72"/>
      <c r="B94" s="72"/>
      <c r="C94" s="72"/>
      <c r="D94" s="72"/>
      <c r="E94" s="72"/>
      <c r="F94" s="72"/>
      <c r="G94" s="72"/>
      <c r="H94" s="72"/>
    </row>
    <row r="95" spans="1:8" ht="12.75">
      <c r="A95" s="72" t="s">
        <v>88</v>
      </c>
      <c r="B95" s="70" t="s">
        <v>51</v>
      </c>
      <c r="C95" s="248">
        <f>E80</f>
        <v>10.433777777777777</v>
      </c>
      <c r="D95" s="72"/>
      <c r="E95" s="72"/>
      <c r="F95" s="72"/>
      <c r="G95" s="72"/>
      <c r="H95" s="72"/>
    </row>
    <row r="96" spans="1:8" ht="12.75">
      <c r="A96" s="72"/>
      <c r="B96" s="70" t="s">
        <v>154</v>
      </c>
      <c r="C96" s="235">
        <f>E67</f>
        <v>45</v>
      </c>
      <c r="D96" s="72"/>
      <c r="E96" s="72"/>
      <c r="F96" s="72"/>
      <c r="G96" s="72"/>
      <c r="H96" s="72"/>
    </row>
    <row r="97" spans="1:8" ht="12.75">
      <c r="A97" s="72"/>
      <c r="B97" s="70" t="s">
        <v>52</v>
      </c>
      <c r="C97" s="248">
        <f>D63-C63</f>
        <v>3.5</v>
      </c>
      <c r="D97" s="72"/>
      <c r="E97" s="72"/>
      <c r="F97" s="72"/>
      <c r="G97" s="72"/>
      <c r="H97" s="72"/>
    </row>
    <row r="98" spans="1:8" ht="13.5" thickBot="1">
      <c r="A98" s="72"/>
      <c r="B98" s="70" t="s">
        <v>53</v>
      </c>
      <c r="C98" s="248">
        <f>SQRT((C95/C62)+C95/D62)</f>
        <v>1.1420254910562295</v>
      </c>
      <c r="D98" s="237"/>
      <c r="E98" s="237"/>
      <c r="F98" s="237"/>
      <c r="G98" s="237"/>
      <c r="H98" s="72"/>
    </row>
    <row r="99" spans="1:8" ht="12.75">
      <c r="A99" s="72"/>
      <c r="B99" s="290" t="s">
        <v>151</v>
      </c>
      <c r="C99" s="291">
        <f>C97/C98</f>
        <v>3.064730189833978</v>
      </c>
      <c r="D99" s="237"/>
      <c r="E99" s="237"/>
      <c r="F99" s="237"/>
      <c r="G99" s="237"/>
      <c r="H99" s="72"/>
    </row>
    <row r="100" spans="1:8" ht="13.5" thickBot="1">
      <c r="A100" s="72"/>
      <c r="B100" s="292" t="s">
        <v>204</v>
      </c>
      <c r="C100" s="316">
        <f>TINV(0.01,C96)</f>
        <v>2.6895850120195695</v>
      </c>
      <c r="D100" s="237"/>
      <c r="E100" s="237"/>
      <c r="F100" s="237"/>
      <c r="G100" s="237"/>
      <c r="H100" s="72"/>
    </row>
    <row r="101" spans="1:8" ht="12.75">
      <c r="A101" s="72"/>
      <c r="B101" s="72"/>
      <c r="C101" s="72"/>
      <c r="D101" s="237"/>
      <c r="E101" s="237"/>
      <c r="F101" s="237"/>
      <c r="G101" s="237"/>
      <c r="H101" s="72"/>
    </row>
    <row r="102" spans="1:8" ht="12.75">
      <c r="A102" s="72" t="s">
        <v>130</v>
      </c>
      <c r="B102" s="70" t="s">
        <v>51</v>
      </c>
      <c r="C102" s="248">
        <f>AVERAGE(C66,D66)</f>
        <v>7.783999999999998</v>
      </c>
      <c r="D102" s="72"/>
      <c r="E102" s="72"/>
      <c r="F102" s="72"/>
      <c r="G102" s="72"/>
      <c r="H102" s="72"/>
    </row>
    <row r="103" spans="1:3" ht="12.75">
      <c r="A103" s="72"/>
      <c r="B103" s="70" t="s">
        <v>154</v>
      </c>
      <c r="C103" s="235">
        <f>C67+D67</f>
        <v>30</v>
      </c>
    </row>
    <row r="104" spans="1:3" ht="12.75">
      <c r="A104" s="72"/>
      <c r="B104" s="70" t="s">
        <v>52</v>
      </c>
      <c r="C104" s="248">
        <f>C97</f>
        <v>3.5</v>
      </c>
    </row>
    <row r="105" spans="1:3" ht="12.75">
      <c r="A105" s="72"/>
      <c r="B105" s="70" t="s">
        <v>53</v>
      </c>
      <c r="C105" s="248">
        <f>SQRT(C102/C62+C102/D62)</f>
        <v>0.9864076236526154</v>
      </c>
    </row>
    <row r="106" spans="1:3" ht="13.5" thickBot="1">
      <c r="A106" s="72"/>
      <c r="B106" s="250" t="s">
        <v>204</v>
      </c>
      <c r="C106" s="248">
        <f>TINV(0.05,C103)</f>
        <v>2.0422724493667923</v>
      </c>
    </row>
    <row r="107" spans="2:3" ht="13.5" thickBot="1">
      <c r="B107" s="294" t="s">
        <v>135</v>
      </c>
      <c r="C107" s="8">
        <f>C105*C106</f>
        <v>2.0145131136311036</v>
      </c>
    </row>
    <row r="109" ht="12.75">
      <c r="A109" s="63"/>
    </row>
    <row r="110" spans="2:5" ht="12.75">
      <c r="B110" s="17"/>
      <c r="C110" s="53"/>
      <c r="D110" s="17"/>
      <c r="E110" s="53"/>
    </row>
    <row r="111" spans="2:5" ht="12.75">
      <c r="B111" s="17"/>
      <c r="C111" s="53"/>
      <c r="D111" s="17"/>
      <c r="E111" s="53"/>
    </row>
    <row r="112" spans="2:5" ht="12.75">
      <c r="B112" s="17"/>
      <c r="C112" s="53"/>
      <c r="D112" s="17"/>
      <c r="E112" s="53"/>
    </row>
    <row r="113" spans="2:5" ht="12.75">
      <c r="B113" s="17"/>
      <c r="C113" s="53"/>
      <c r="D113" s="17"/>
      <c r="E113" s="53"/>
    </row>
    <row r="114" spans="2:5" ht="12.75">
      <c r="B114" s="17"/>
      <c r="C114" s="53"/>
      <c r="D114" s="17"/>
      <c r="E114" s="53"/>
    </row>
    <row r="115" spans="2:5" ht="12.75">
      <c r="B115" s="17"/>
      <c r="C115" s="53"/>
      <c r="D115" s="17"/>
      <c r="E115" s="53"/>
    </row>
    <row r="116" spans="2:5" ht="12.75">
      <c r="B116" s="17"/>
      <c r="C116" s="53"/>
      <c r="D116" s="17"/>
      <c r="E116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  <row r="126" spans="1:3" ht="12.75">
      <c r="A126" s="63"/>
      <c r="C126" s="30"/>
    </row>
    <row r="127" ht="12.75">
      <c r="A127" s="63"/>
    </row>
    <row r="128" spans="1:5" ht="12.75">
      <c r="A128" s="63"/>
      <c r="B128" s="17"/>
      <c r="C128" s="56"/>
      <c r="D128" s="56"/>
      <c r="E128" s="56"/>
    </row>
    <row r="129" spans="1:7" ht="12.75">
      <c r="A129" s="63"/>
      <c r="B129" s="17"/>
      <c r="C129" s="30"/>
      <c r="D129" s="30"/>
      <c r="E129" s="30"/>
      <c r="F129" s="53"/>
      <c r="G129" s="32"/>
    </row>
    <row r="130" ht="12.75">
      <c r="A130" s="57"/>
    </row>
    <row r="131" spans="2:3" ht="12.75">
      <c r="B131" s="17"/>
      <c r="C131" s="62"/>
    </row>
    <row r="132" spans="1:3" ht="12.75">
      <c r="A132" s="27"/>
      <c r="C132" s="56"/>
    </row>
    <row r="134" ht="12.75">
      <c r="A134" s="57"/>
    </row>
    <row r="135" spans="1:3" ht="12.75">
      <c r="A135" s="57"/>
      <c r="C135" s="30"/>
    </row>
    <row r="136" spans="1:3" ht="12.75">
      <c r="A136" s="57"/>
      <c r="C136" s="30"/>
    </row>
    <row r="137" spans="1:4" ht="12.75">
      <c r="A137" s="57"/>
      <c r="C137" s="30"/>
      <c r="D137" s="30"/>
    </row>
    <row r="138" ht="12.75">
      <c r="A138" s="57"/>
    </row>
    <row r="139" spans="2:3" ht="12.75">
      <c r="B139" s="17"/>
      <c r="C139" s="230"/>
    </row>
    <row r="140" ht="12.75">
      <c r="A140" s="57"/>
    </row>
    <row r="141" ht="12.75">
      <c r="A141" s="63"/>
    </row>
    <row r="142" spans="2:3" ht="12.75">
      <c r="B142" s="17"/>
      <c r="C142" s="53"/>
    </row>
    <row r="143" spans="2:3" ht="12.75">
      <c r="B143" s="17"/>
      <c r="C143" s="62"/>
    </row>
    <row r="144" spans="2:3" ht="12.75">
      <c r="B144" s="17"/>
      <c r="C144" s="62"/>
    </row>
    <row r="145" spans="2:3" ht="12.75">
      <c r="B145" s="17"/>
      <c r="C145" s="62"/>
    </row>
    <row r="146" spans="2:3" ht="12.75">
      <c r="B146" s="17"/>
      <c r="C146" s="62"/>
    </row>
    <row r="147" spans="2:3" ht="12.75">
      <c r="B147" s="17"/>
      <c r="C147" s="62"/>
    </row>
    <row r="148" spans="2:3" ht="12.75">
      <c r="B148" s="17"/>
      <c r="C148" s="62"/>
    </row>
    <row r="149" spans="2:3" ht="12.75">
      <c r="B149" s="17"/>
      <c r="C149" s="62"/>
    </row>
    <row r="150" spans="2:3" ht="12.75">
      <c r="B150" s="17"/>
      <c r="C150" s="62"/>
    </row>
    <row r="151" spans="2:3" ht="12.75">
      <c r="B151" s="17"/>
      <c r="C151" s="62"/>
    </row>
    <row r="152" spans="2:3" ht="12.75">
      <c r="B152" s="17"/>
      <c r="C152" s="62"/>
    </row>
    <row r="153" spans="2:3" ht="12.75">
      <c r="B153" s="17"/>
      <c r="C153" s="62"/>
    </row>
    <row r="154" spans="2:3" ht="12.75">
      <c r="B154" s="17"/>
      <c r="C154" s="62"/>
    </row>
    <row r="155" spans="2:3" ht="12.75">
      <c r="B155" s="17"/>
      <c r="C155" s="62"/>
    </row>
    <row r="156" spans="2:3" ht="12.75">
      <c r="B156" s="17"/>
      <c r="C156" s="62"/>
    </row>
    <row r="157" spans="2:8" ht="12.75">
      <c r="B157" s="17"/>
      <c r="C157" s="62"/>
      <c r="G157" s="56"/>
      <c r="H157" s="56"/>
    </row>
    <row r="158" spans="2:8" ht="12.75">
      <c r="B158" s="17"/>
      <c r="C158" s="62"/>
      <c r="G158" s="56"/>
      <c r="H158" s="56"/>
    </row>
    <row r="159" spans="2:3" ht="12.75">
      <c r="B159" s="17"/>
      <c r="C159" s="62"/>
    </row>
    <row r="160" spans="2:3" ht="12.75">
      <c r="B160" s="17"/>
      <c r="C160" s="62"/>
    </row>
    <row r="161" spans="2:3" ht="12.75">
      <c r="B161" s="17"/>
      <c r="C161" s="62"/>
    </row>
    <row r="162" spans="1:5" ht="12.75">
      <c r="A162" s="63"/>
      <c r="C162" s="30"/>
      <c r="D162" s="30"/>
      <c r="E162" s="30"/>
    </row>
    <row r="164" spans="2:7" ht="13.5">
      <c r="B164" s="58"/>
      <c r="C164" s="59"/>
      <c r="D164" s="59"/>
      <c r="E164" s="231"/>
      <c r="F164" s="30"/>
      <c r="G164" s="30"/>
    </row>
    <row r="165" spans="2:7" ht="13.5">
      <c r="B165" s="30"/>
      <c r="C165" s="60"/>
      <c r="D165" s="60"/>
      <c r="E165" s="231"/>
      <c r="F165" s="30"/>
      <c r="G165" s="30"/>
    </row>
    <row r="166" spans="2:7" ht="13.5">
      <c r="B166" s="30"/>
      <c r="C166" s="60"/>
      <c r="D166" s="60"/>
      <c r="E166" s="231"/>
      <c r="F166" s="30"/>
      <c r="G166" s="30"/>
    </row>
    <row r="167" spans="2:7" ht="13.5">
      <c r="B167" s="30"/>
      <c r="C167" s="60"/>
      <c r="D167" s="60"/>
      <c r="E167" s="231"/>
      <c r="F167" s="30"/>
      <c r="G167" s="30"/>
    </row>
    <row r="168" spans="2:7" ht="12.75">
      <c r="B168" s="25"/>
      <c r="C168" s="30"/>
      <c r="D168" s="30"/>
      <c r="E168" s="30"/>
      <c r="F168" s="30"/>
      <c r="G168" s="30"/>
    </row>
    <row r="169" spans="2:7" ht="12.75">
      <c r="B169" s="25"/>
      <c r="C169" s="30"/>
      <c r="D169" s="30"/>
      <c r="E169" s="30"/>
      <c r="F169" s="30"/>
      <c r="G169" s="53"/>
    </row>
    <row r="170" spans="2:7" ht="12.75">
      <c r="B170" s="25"/>
      <c r="C170" s="30"/>
      <c r="D170" s="30"/>
      <c r="E170" s="30"/>
      <c r="F170" s="30"/>
      <c r="G170" s="53"/>
    </row>
    <row r="171" spans="2:7" ht="12.75">
      <c r="B171" s="25"/>
      <c r="C171" s="56"/>
      <c r="D171" s="56"/>
      <c r="E171" s="56"/>
      <c r="F171" s="30"/>
      <c r="G171" s="53"/>
    </row>
    <row r="172" spans="2:7" ht="12.75">
      <c r="B172" s="25"/>
      <c r="C172" s="30"/>
      <c r="D172" s="30"/>
      <c r="E172" s="30"/>
      <c r="F172" s="30"/>
      <c r="G172" s="53"/>
    </row>
    <row r="173" spans="2:7" ht="13.5">
      <c r="B173" s="58"/>
      <c r="C173" s="30"/>
      <c r="D173" s="30"/>
      <c r="E173" s="231"/>
      <c r="F173" s="30"/>
      <c r="G173" s="53"/>
    </row>
    <row r="174" spans="2:7" ht="13.5">
      <c r="B174" s="25"/>
      <c r="C174" s="30"/>
      <c r="D174" s="30"/>
      <c r="E174" s="231"/>
      <c r="F174" s="30"/>
      <c r="G174" s="53"/>
    </row>
    <row r="175" spans="2:7" ht="13.5">
      <c r="B175" s="25"/>
      <c r="C175" s="30"/>
      <c r="D175" s="30"/>
      <c r="E175" s="231"/>
      <c r="F175" s="30"/>
      <c r="G175" s="53"/>
    </row>
    <row r="176" spans="2:7" ht="13.5">
      <c r="B176" s="25"/>
      <c r="C176" s="30"/>
      <c r="D176" s="30"/>
      <c r="E176" s="231"/>
      <c r="F176" s="30"/>
      <c r="G176" s="53"/>
    </row>
    <row r="177" spans="2:7" ht="12.75">
      <c r="B177" s="25"/>
      <c r="C177" s="30"/>
      <c r="D177" s="30"/>
      <c r="E177" s="30"/>
      <c r="F177" s="30"/>
      <c r="G177" s="53"/>
    </row>
    <row r="178" spans="2:7" ht="12.75">
      <c r="B178" s="25"/>
      <c r="C178" s="30"/>
      <c r="D178" s="30"/>
      <c r="E178" s="30"/>
      <c r="F178" s="30"/>
      <c r="G178" s="53"/>
    </row>
    <row r="179" spans="2:7" ht="12.75">
      <c r="B179" s="25"/>
      <c r="C179" s="30"/>
      <c r="D179" s="30"/>
      <c r="E179" s="30"/>
      <c r="F179" s="30"/>
      <c r="G179" s="53"/>
    </row>
    <row r="180" spans="2:7" ht="12.75">
      <c r="B180" s="25"/>
      <c r="C180" s="56"/>
      <c r="D180" s="56"/>
      <c r="E180" s="56"/>
      <c r="F180" s="30"/>
      <c r="G180" s="53"/>
    </row>
    <row r="181" spans="2:7" ht="12.75">
      <c r="B181" s="25"/>
      <c r="C181" s="30"/>
      <c r="D181" s="30"/>
      <c r="E181" s="30"/>
      <c r="F181" s="30"/>
      <c r="G181" s="53"/>
    </row>
    <row r="182" spans="2:7" ht="12.75">
      <c r="B182" s="25"/>
      <c r="C182" s="30"/>
      <c r="D182" s="30"/>
      <c r="E182" s="30"/>
      <c r="F182" s="30"/>
      <c r="G182" s="53"/>
    </row>
    <row r="183" spans="1:7" ht="12.75">
      <c r="A183" s="57"/>
      <c r="B183" s="25"/>
      <c r="C183" s="30"/>
      <c r="D183" s="30"/>
      <c r="E183" s="30"/>
      <c r="F183" s="30"/>
      <c r="G183" s="53"/>
    </row>
    <row r="184" spans="2:7" ht="12.75">
      <c r="B184" s="30"/>
      <c r="C184" s="30"/>
      <c r="D184" s="30"/>
      <c r="E184" s="30"/>
      <c r="F184" s="30"/>
      <c r="G184" s="32"/>
    </row>
    <row r="185" spans="2:7" ht="12.75">
      <c r="B185" s="30"/>
      <c r="C185" s="30"/>
      <c r="D185" s="30"/>
      <c r="E185" s="30"/>
      <c r="F185" s="56"/>
      <c r="G185" s="53"/>
    </row>
    <row r="186" spans="2:7" ht="12.75">
      <c r="B186" s="30"/>
      <c r="C186" s="30"/>
      <c r="D186" s="30"/>
      <c r="E186" s="30"/>
      <c r="F186" s="56"/>
      <c r="G186" s="53"/>
    </row>
    <row r="187" spans="2:7" ht="12.75">
      <c r="B187" s="30"/>
      <c r="C187" s="30"/>
      <c r="D187" s="53"/>
      <c r="E187" s="25"/>
      <c r="F187" s="56"/>
      <c r="G187" s="53"/>
    </row>
    <row r="188" spans="2:7" ht="12.75">
      <c r="B188" s="25"/>
      <c r="C188" s="25"/>
      <c r="D188" s="53"/>
      <c r="E188" s="25"/>
      <c r="F188" s="61"/>
      <c r="G188" s="30"/>
    </row>
    <row r="189" spans="2:7" ht="12.75">
      <c r="B189" s="25"/>
      <c r="C189" s="25"/>
      <c r="D189" s="53"/>
      <c r="E189" s="25"/>
      <c r="F189" s="61"/>
      <c r="G189" s="30"/>
    </row>
    <row r="190" spans="2:7" ht="12.75">
      <c r="B190" s="25"/>
      <c r="C190" s="25"/>
      <c r="D190" s="53"/>
      <c r="E190" s="25"/>
      <c r="F190" s="61"/>
      <c r="G190" s="30"/>
    </row>
    <row r="191" spans="2:7" ht="12.75">
      <c r="B191" s="25"/>
      <c r="C191" s="25"/>
      <c r="D191" s="53"/>
      <c r="E191" s="25"/>
      <c r="F191" s="61"/>
      <c r="G191" s="30"/>
    </row>
    <row r="192" spans="2:7" ht="12.75">
      <c r="B192" s="25"/>
      <c r="C192" s="25"/>
      <c r="D192" s="53"/>
      <c r="E192" s="25"/>
      <c r="F192" s="61"/>
      <c r="G192" s="30"/>
    </row>
    <row r="193" spans="2:7" ht="12.75">
      <c r="B193" s="25"/>
      <c r="C193" s="25"/>
      <c r="D193" s="53"/>
      <c r="E193" s="25"/>
      <c r="F193" s="61"/>
      <c r="G193" s="30"/>
    </row>
    <row r="194" spans="2:7" ht="12.75">
      <c r="B194" s="25"/>
      <c r="C194" s="25"/>
      <c r="D194" s="53"/>
      <c r="E194" s="25"/>
      <c r="F194" s="61"/>
      <c r="G194" s="30"/>
    </row>
    <row r="195" spans="2:7" ht="12.75">
      <c r="B195" s="25"/>
      <c r="C195" s="25"/>
      <c r="D195" s="53"/>
      <c r="E195" s="25"/>
      <c r="F195" s="61"/>
      <c r="G195" s="30"/>
    </row>
    <row r="196" spans="2:7" ht="12.75">
      <c r="B196" s="25"/>
      <c r="C196" s="25"/>
      <c r="D196" s="53"/>
      <c r="E196" s="25"/>
      <c r="F196" s="61"/>
      <c r="G196" s="30"/>
    </row>
    <row r="197" spans="2:7" ht="12.75">
      <c r="B197" s="25"/>
      <c r="C197" s="25"/>
      <c r="D197" s="53"/>
      <c r="E197" s="25"/>
      <c r="F197" s="61"/>
      <c r="G197" s="30"/>
    </row>
    <row r="198" spans="2:7" ht="12.75">
      <c r="B198" s="30"/>
      <c r="C198" s="30"/>
      <c r="D198" s="30"/>
      <c r="E198" s="30"/>
      <c r="F198" s="30"/>
      <c r="G198" s="30"/>
    </row>
    <row r="199" spans="2:7" ht="12.75">
      <c r="B199" s="25"/>
      <c r="C199" s="53"/>
      <c r="D199" s="30"/>
      <c r="E199" s="30"/>
      <c r="F199" s="30"/>
      <c r="G199" s="30"/>
    </row>
    <row r="200" spans="2:7" ht="12.75">
      <c r="B200" s="25"/>
      <c r="C200" s="53"/>
      <c r="D200" s="30"/>
      <c r="E200" s="30"/>
      <c r="F200" s="30"/>
      <c r="G200" s="30"/>
    </row>
    <row r="201" spans="2:7" ht="12.75">
      <c r="B201" s="17"/>
      <c r="C201" s="53"/>
      <c r="D201" s="30"/>
      <c r="E201" s="30"/>
      <c r="F201" s="30"/>
      <c r="G201" s="30"/>
    </row>
    <row r="202" spans="2:3" ht="12.75">
      <c r="B202" s="17"/>
      <c r="C202" s="53"/>
    </row>
    <row r="203" spans="2:3" ht="12.75">
      <c r="B203" s="25"/>
      <c r="C203" s="53"/>
    </row>
    <row r="206" ht="12.75">
      <c r="B206" s="32"/>
    </row>
    <row r="207" spans="2:5" ht="12.75">
      <c r="B207" s="32"/>
      <c r="C207" s="53"/>
      <c r="D207" s="62"/>
      <c r="E207" s="62"/>
    </row>
    <row r="208" spans="3:7" ht="12.75">
      <c r="C208" s="30"/>
      <c r="D208" s="56"/>
      <c r="E208" s="61"/>
      <c r="F208" s="56"/>
      <c r="G208" s="56"/>
    </row>
    <row r="209" spans="3:7" ht="12.75">
      <c r="C209" s="30"/>
      <c r="D209" s="56"/>
      <c r="E209" s="61"/>
      <c r="F209" s="56"/>
      <c r="G209" s="56"/>
    </row>
    <row r="210" spans="3:7" ht="12.75">
      <c r="C210" s="30"/>
      <c r="D210" s="56"/>
      <c r="E210" s="61"/>
      <c r="F210" s="56"/>
      <c r="G210" s="56"/>
    </row>
    <row r="211" spans="2:5" ht="12.75">
      <c r="B211" s="32"/>
      <c r="C211" s="53"/>
      <c r="D211" s="62"/>
      <c r="E211" s="62"/>
    </row>
    <row r="212" spans="1:4" ht="12.75">
      <c r="A212" s="57"/>
      <c r="C212" s="53"/>
      <c r="D212" s="53"/>
    </row>
    <row r="214" spans="2:3" ht="12.75">
      <c r="B214" s="17"/>
      <c r="C214" s="62"/>
    </row>
    <row r="215" spans="2:6" ht="12.75">
      <c r="B215" s="17"/>
      <c r="C215" s="62"/>
      <c r="D215" s="30"/>
      <c r="E215" s="30"/>
      <c r="F215" s="30"/>
    </row>
    <row r="216" spans="2:3" ht="12.75">
      <c r="B216" s="17"/>
      <c r="C216" s="62"/>
    </row>
    <row r="217" spans="2:3" ht="12.75">
      <c r="B217" s="17"/>
      <c r="C217" s="62"/>
    </row>
    <row r="222" ht="12.75">
      <c r="C222" s="30"/>
    </row>
    <row r="226" ht="12.75">
      <c r="C226" s="56"/>
    </row>
    <row r="227" spans="2:4" ht="12.75">
      <c r="B227" s="30"/>
      <c r="C227" s="30"/>
      <c r="D227" s="30"/>
    </row>
    <row r="228" spans="2:4" ht="12.75">
      <c r="B228" s="30"/>
      <c r="C228" s="30"/>
      <c r="D228" s="30"/>
    </row>
    <row r="229" spans="2:4" ht="12.75">
      <c r="B229" s="30"/>
      <c r="C229" s="30"/>
      <c r="D229" s="30"/>
    </row>
    <row r="230" spans="2:4" ht="12.75">
      <c r="B230" s="30"/>
      <c r="C230" s="30"/>
      <c r="D230" s="30"/>
    </row>
    <row r="231" spans="2:4" ht="12.75">
      <c r="B231" s="30"/>
      <c r="C231" s="30"/>
      <c r="D231" s="30"/>
    </row>
    <row r="232" spans="2:4" ht="12.75">
      <c r="B232" s="30"/>
      <c r="C232" s="30"/>
      <c r="D232" s="30"/>
    </row>
    <row r="233" spans="2:4" ht="12.75">
      <c r="B233" s="30"/>
      <c r="C233" s="30"/>
      <c r="D233" s="30"/>
    </row>
    <row r="234" spans="3:8" ht="12.75">
      <c r="C234" s="30"/>
      <c r="D234" s="56"/>
      <c r="E234" s="56"/>
      <c r="F234" s="56"/>
      <c r="G234" s="56"/>
      <c r="H234" s="56"/>
    </row>
    <row r="235" spans="3:8" ht="12.75">
      <c r="C235" s="56"/>
      <c r="D235" s="56"/>
      <c r="E235" s="56"/>
      <c r="F235" s="56"/>
      <c r="G235" s="56"/>
      <c r="H235" s="56"/>
    </row>
    <row r="236" spans="3:8" ht="12.75">
      <c r="C236" s="56"/>
      <c r="D236" s="56"/>
      <c r="E236" s="56"/>
      <c r="F236" s="56"/>
      <c r="G236" s="56"/>
      <c r="H236" s="56"/>
    </row>
    <row r="237" ht="12.75">
      <c r="C237" s="30"/>
    </row>
    <row r="238" ht="12.75">
      <c r="C238" s="56"/>
    </row>
    <row r="239" ht="12.75">
      <c r="C239" s="56"/>
    </row>
    <row r="240" ht="12.75">
      <c r="C240" s="30"/>
    </row>
    <row r="241" ht="12.75">
      <c r="C241" s="30"/>
    </row>
    <row r="242" ht="12.75">
      <c r="C242" s="56"/>
    </row>
    <row r="243" ht="12.75">
      <c r="C243" s="56"/>
    </row>
    <row r="244" ht="12.75">
      <c r="C244" s="30"/>
    </row>
    <row r="246" ht="12.75">
      <c r="B246" s="56"/>
    </row>
    <row r="247" spans="3:8" ht="12.75">
      <c r="C247" s="53"/>
      <c r="D247" s="62"/>
      <c r="E247" s="56"/>
      <c r="F247" s="56"/>
      <c r="G247" s="56"/>
      <c r="H247" s="56"/>
    </row>
    <row r="248" spans="2:8" ht="12.75">
      <c r="B248" s="17"/>
      <c r="C248" s="30"/>
      <c r="D248" s="56"/>
      <c r="E248" s="56"/>
      <c r="F248" s="56"/>
      <c r="G248" s="56"/>
      <c r="H248" s="56"/>
    </row>
    <row r="249" spans="2:8" ht="12.75">
      <c r="B249" s="17"/>
      <c r="C249" s="30"/>
      <c r="D249" s="56"/>
      <c r="E249" s="56"/>
      <c r="F249" s="56"/>
      <c r="G249" s="56"/>
      <c r="H249" s="56"/>
    </row>
    <row r="250" spans="2:8" ht="12.75">
      <c r="B250" s="17"/>
      <c r="C250" s="30"/>
      <c r="D250" s="56"/>
      <c r="E250" s="56"/>
      <c r="F250" s="56"/>
      <c r="G250" s="56"/>
      <c r="H250" s="56"/>
    </row>
    <row r="251" spans="3:8" ht="12.75">
      <c r="C251" s="53"/>
      <c r="D251" s="62"/>
      <c r="E251" s="62"/>
      <c r="F251" s="56"/>
      <c r="G251" s="56"/>
      <c r="H251" s="56"/>
    </row>
    <row r="252" spans="3:8" ht="12.75">
      <c r="C252" s="53"/>
      <c r="D252" s="62"/>
      <c r="E252" s="56"/>
      <c r="F252" s="56"/>
      <c r="G252" s="56"/>
      <c r="H252" s="56"/>
    </row>
    <row r="256" spans="3:7" ht="12.75">
      <c r="C256" s="30"/>
      <c r="D256" s="56"/>
      <c r="E256" s="61"/>
      <c r="F256" s="56"/>
      <c r="G256" s="56"/>
    </row>
    <row r="257" spans="3:7" ht="12.75">
      <c r="C257" s="30"/>
      <c r="D257" s="56"/>
      <c r="E257" s="61"/>
      <c r="F257" s="30"/>
      <c r="G257" s="30"/>
    </row>
    <row r="261" spans="3:7" ht="12.75">
      <c r="C261" s="30"/>
      <c r="D261" s="56"/>
      <c r="E261" s="56"/>
      <c r="F261" s="56"/>
      <c r="G261" s="56"/>
    </row>
    <row r="262" spans="3:7" ht="12.75">
      <c r="C262" s="30"/>
      <c r="D262" s="56"/>
      <c r="E262" s="56"/>
      <c r="F262" s="56"/>
      <c r="G262" s="56"/>
    </row>
    <row r="264" spans="3:5" ht="12.75">
      <c r="C264" s="56"/>
      <c r="D264" s="17"/>
      <c r="E264" s="32"/>
    </row>
    <row r="265" spans="3:5" ht="12.75">
      <c r="C265" s="56"/>
      <c r="D265" s="17"/>
      <c r="E265" s="32"/>
    </row>
    <row r="267" spans="2:3" ht="12.75">
      <c r="B267" s="17"/>
      <c r="C267" s="32"/>
    </row>
    <row r="268" spans="2:3" ht="12.75">
      <c r="B268" s="17"/>
      <c r="C268" s="62"/>
    </row>
    <row r="269" spans="2:3" ht="12.75">
      <c r="B269" s="17"/>
      <c r="C269" s="62"/>
    </row>
    <row r="270" spans="2:3" ht="12.75">
      <c r="B270" s="17"/>
      <c r="C270" s="62"/>
    </row>
    <row r="275" spans="3:7" ht="12.75">
      <c r="C275" s="30"/>
      <c r="D275" s="56"/>
      <c r="E275" s="56"/>
      <c r="F275" s="56"/>
      <c r="G275" s="56"/>
    </row>
    <row r="276" spans="3:7" ht="12.75">
      <c r="C276" s="30"/>
      <c r="D276" s="56"/>
      <c r="E276" s="56"/>
      <c r="F276" s="56"/>
      <c r="G276" s="5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dcterms:created xsi:type="dcterms:W3CDTF">2005-04-06T18:11:15Z</dcterms:created>
  <dcterms:modified xsi:type="dcterms:W3CDTF">2013-03-23T17:49:09Z</dcterms:modified>
  <cp:category/>
  <cp:version/>
  <cp:contentType/>
  <cp:contentStatus/>
</cp:coreProperties>
</file>