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4"/>
  </bookViews>
  <sheets>
    <sheet name="time plot" sheetId="1" r:id="rId1"/>
    <sheet name="data" sheetId="2" r:id="rId2"/>
    <sheet name="boxplot" sheetId="3" r:id="rId3"/>
    <sheet name="scatterplot" sheetId="4" r:id="rId4"/>
    <sheet name="statistics" sheetId="5" r:id="rId5"/>
    <sheet name="histogram" sheetId="6" r:id="rId6"/>
    <sheet name="Boxplot Parameters XYZZ" sheetId="7" state="veryHidden" r:id="rId7"/>
    <sheet name="Histogram Parameters XYZZ" sheetId="8" state="veryHidden" r:id="rId8"/>
  </sheets>
  <externalReferences>
    <externalReference r:id="rId11"/>
  </externalReferences>
  <definedNames>
    <definedName name="rmsft">'data'!$H$4:$H$103</definedName>
    <definedName name="rsbux">'data'!$G$4:$G$103</definedName>
    <definedName name="rsp500">'data'!$I$4:$I$103</definedName>
    <definedName name="tbill">'data'!$F$4:$F$103</definedName>
  </definedNames>
  <calcPr fullCalcOnLoad="1"/>
</workbook>
</file>

<file path=xl/sharedStrings.xml><?xml version="1.0" encoding="utf-8"?>
<sst xmlns="http://schemas.openxmlformats.org/spreadsheetml/2006/main" count="116" uniqueCount="67">
  <si>
    <t>Date</t>
  </si>
  <si>
    <t>sbux</t>
  </si>
  <si>
    <t>msft</t>
  </si>
  <si>
    <t>sp500</t>
  </si>
  <si>
    <t>rsbux</t>
  </si>
  <si>
    <t>rmsft</t>
  </si>
  <si>
    <t>rsp500</t>
  </si>
  <si>
    <t>Note: columns have been named</t>
  </si>
  <si>
    <t>frequency Chart 2</t>
  </si>
  <si>
    <t>Bins</t>
  </si>
  <si>
    <t>frequency Chart 3</t>
  </si>
  <si>
    <t>frequency Chart 4</t>
  </si>
  <si>
    <t>frequency Chart 5</t>
  </si>
  <si>
    <t>frequency Chart 6</t>
  </si>
  <si>
    <t>frequency Chart 7</t>
  </si>
  <si>
    <t>frequency Chart 8</t>
  </si>
  <si>
    <t>frequency Chart 9</t>
  </si>
  <si>
    <t>frequency Chart 10</t>
  </si>
  <si>
    <t>boxplots</t>
  </si>
  <si>
    <t>Sheet1 Chart 9</t>
  </si>
  <si>
    <t>Variable 1</t>
  </si>
  <si>
    <t>tbill</t>
  </si>
  <si>
    <t>continuously compounded monthly returns</t>
  </si>
  <si>
    <t>Adjusted closing price data from Yahoo!  T-bill rate data taken from economagic</t>
  </si>
  <si>
    <t>histogram Chart 1</t>
  </si>
  <si>
    <t>histogram Chart 2</t>
  </si>
  <si>
    <t>histogram Chart 3</t>
  </si>
  <si>
    <t>histogram Chart 4</t>
  </si>
  <si>
    <t>histogram Chart 5</t>
  </si>
  <si>
    <t>histogram Chart 6</t>
  </si>
  <si>
    <t>histogram Chart 8</t>
  </si>
  <si>
    <t>histogram Chart 9</t>
  </si>
  <si>
    <t>histogram Chart 10</t>
  </si>
  <si>
    <t>histogram Chart 11</t>
  </si>
  <si>
    <t>boxplot Chart 1</t>
  </si>
  <si>
    <t>statistics Chart 2</t>
  </si>
  <si>
    <t>Count</t>
  </si>
  <si>
    <t>Sum</t>
  </si>
  <si>
    <t>Average</t>
  </si>
  <si>
    <t>Median</t>
  </si>
  <si>
    <t>Mode</t>
  </si>
  <si>
    <t>Trimmed Mean (0.2)</t>
  </si>
  <si>
    <t>Smallest (2)</t>
  </si>
  <si>
    <t>Largest (2)</t>
  </si>
  <si>
    <t>1st Percentile</t>
  </si>
  <si>
    <t>5th Percentile</t>
  </si>
  <si>
    <t>10th Percentile</t>
  </si>
  <si>
    <t>25th Percentile</t>
  </si>
  <si>
    <t>50th Percentile</t>
  </si>
  <si>
    <t>75th Percentile</t>
  </si>
  <si>
    <t>90th Percentile</t>
  </si>
  <si>
    <t>95th Percentile</t>
  </si>
  <si>
    <t>99th Percentile</t>
  </si>
  <si>
    <t>Interquartile Range</t>
  </si>
  <si>
    <t>Univariate Statistics</t>
  </si>
  <si>
    <t>Minimum</t>
  </si>
  <si>
    <t>Maximum</t>
  </si>
  <si>
    <t>Range</t>
  </si>
  <si>
    <t>Standard Deviation</t>
  </si>
  <si>
    <t>Variance</t>
  </si>
  <si>
    <t>Standard Error</t>
  </si>
  <si>
    <t>Skewness</t>
  </si>
  <si>
    <t>Kurtosis</t>
  </si>
  <si>
    <t>Sample Covariance and Correlation</t>
  </si>
  <si>
    <r>
      <t>s</t>
    </r>
    <r>
      <rPr>
        <vertAlign val="subscript"/>
        <sz val="10"/>
        <rFont val="Arial"/>
        <family val="2"/>
      </rPr>
      <t>xy</t>
    </r>
  </si>
  <si>
    <r>
      <t>r</t>
    </r>
    <r>
      <rPr>
        <vertAlign val="subscript"/>
        <sz val="10"/>
        <rFont val="Arial"/>
        <family val="2"/>
      </rPr>
      <t>xy</t>
    </r>
  </si>
  <si>
    <t>Quantiles from N(2.76%, (10.68%)^2)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</si>
</sst>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0000"/>
    <numFmt numFmtId="168" formatCode="#,##0.000000"/>
    <numFmt numFmtId="169" formatCode="0.00000000"/>
    <numFmt numFmtId="170" formatCode="0.0000000"/>
    <numFmt numFmtId="171" formatCode="0.000000"/>
    <numFmt numFmtId="172" formatCode="0.00000"/>
    <numFmt numFmtId="173" formatCode="0.0000"/>
    <numFmt numFmtId="174" formatCode="0.0"/>
    <numFmt numFmtId="175" formatCode="#,##0.0000000"/>
  </numFmts>
  <fonts count="18">
    <font>
      <sz val="10"/>
      <name val="Arial"/>
      <family val="0"/>
    </font>
    <font>
      <b/>
      <sz val="12"/>
      <name val="Arial"/>
      <family val="0"/>
    </font>
    <font>
      <b/>
      <sz val="10"/>
      <name val="Arial"/>
      <family val="0"/>
    </font>
    <font>
      <u val="single"/>
      <sz val="10"/>
      <color indexed="12"/>
      <name val="Arial"/>
      <family val="0"/>
    </font>
    <font>
      <u val="single"/>
      <sz val="10"/>
      <color indexed="36"/>
      <name val="Arial"/>
      <family val="0"/>
    </font>
    <font>
      <sz val="12"/>
      <name val="Arial"/>
      <family val="2"/>
    </font>
    <font>
      <sz val="4"/>
      <name val="Arial"/>
      <family val="2"/>
    </font>
    <font>
      <sz val="6"/>
      <name val="Arial"/>
      <family val="2"/>
    </font>
    <font>
      <b/>
      <sz val="8"/>
      <name val="Arial"/>
      <family val="2"/>
    </font>
    <font>
      <sz val="8"/>
      <name val="Arial"/>
      <family val="2"/>
    </font>
    <font>
      <sz val="2.5"/>
      <name val="Arial"/>
      <family val="0"/>
    </font>
    <font>
      <sz val="3"/>
      <name val="Arial"/>
      <family val="0"/>
    </font>
    <font>
      <sz val="2.25"/>
      <name val="Arial"/>
      <family val="0"/>
    </font>
    <font>
      <sz val="15.5"/>
      <name val="Arial"/>
      <family val="0"/>
    </font>
    <font>
      <b/>
      <sz val="18.75"/>
      <name val="Arial"/>
      <family val="0"/>
    </font>
    <font>
      <b/>
      <sz val="15.5"/>
      <name val="Arial"/>
      <family val="0"/>
    </font>
    <font>
      <sz val="10.75"/>
      <name val="Arial"/>
      <family val="2"/>
    </font>
    <font>
      <vertAlign val="subscript"/>
      <sz val="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5" fontId="0" fillId="0" borderId="0" xfId="0" applyNumberFormat="1" applyAlignment="1">
      <alignment/>
    </xf>
    <xf numFmtId="166" fontId="0" fillId="0" borderId="0" xfId="0" applyNumberFormat="1" applyAlignment="1">
      <alignment/>
    </xf>
    <xf numFmtId="175" fontId="0" fillId="0" borderId="0" xfId="0" applyNumberFormat="1" applyAlignment="1">
      <alignment/>
    </xf>
    <xf numFmtId="10" fontId="0" fillId="0" borderId="0" xfId="21" applyNumberFormat="1" applyAlignment="1">
      <alignment/>
    </xf>
    <xf numFmtId="0" fontId="5" fillId="0" borderId="0" xfId="0" applyFont="1" applyAlignment="1">
      <alignment/>
    </xf>
    <xf numFmtId="17" fontId="5" fillId="0" borderId="0" xfId="0" applyNumberFormat="1" applyFont="1" applyAlignment="1">
      <alignment/>
    </xf>
    <xf numFmtId="164" fontId="5" fillId="0" borderId="0" xfId="0" applyNumberFormat="1" applyFont="1" applyAlignment="1">
      <alignment/>
    </xf>
    <xf numFmtId="173" fontId="5" fillId="0" borderId="0" xfId="0" applyNumberFormat="1" applyFont="1" applyAlignment="1">
      <alignment/>
    </xf>
    <xf numFmtId="2" fontId="5" fillId="0" borderId="0" xfId="0" applyNumberFormat="1" applyFont="1" applyAlignment="1">
      <alignment/>
    </xf>
    <xf numFmtId="10" fontId="5" fillId="0" borderId="0" xfId="0" applyNumberFormat="1" applyFont="1" applyAlignment="1">
      <alignment/>
    </xf>
    <xf numFmtId="0" fontId="1" fillId="0" borderId="1" xfId="0" applyFont="1" applyBorder="1" applyAlignment="1">
      <alignment horizontal="center"/>
    </xf>
    <xf numFmtId="0" fontId="1" fillId="0" borderId="1" xfId="0" applyFont="1" applyBorder="1" applyAlignment="1">
      <alignment/>
    </xf>
    <xf numFmtId="173" fontId="0" fillId="0" borderId="0" xfId="0" applyNumberFormat="1" applyAlignment="1">
      <alignment/>
    </xf>
    <xf numFmtId="0" fontId="0" fillId="0" borderId="0" xfId="0" applyAlignment="1">
      <alignment horizontal="center"/>
    </xf>
    <xf numFmtId="3" fontId="0" fillId="0" borderId="0" xfId="0" applyNumberFormat="1" applyAlignment="1">
      <alignment/>
    </xf>
    <xf numFmtId="0" fontId="2" fillId="0" borderId="0" xfId="0" applyFont="1" applyAlignment="1">
      <alignment horizontal="center"/>
    </xf>
    <xf numFmtId="10" fontId="0" fillId="0" borderId="0" xfId="0" applyNumberFormat="1" applyAlignment="1">
      <alignment/>
    </xf>
    <xf numFmtId="10" fontId="0" fillId="2" borderId="0" xfId="0" applyNumberFormat="1" applyFill="1" applyAlignment="1">
      <alignment/>
    </xf>
    <xf numFmtId="165" fontId="0" fillId="2" borderId="0" xfId="0" applyNumberFormat="1" applyFill="1"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Continuously Compounded Returns</a:t>
            </a:r>
          </a:p>
        </c:rich>
      </c:tx>
      <c:layout/>
      <c:spPr>
        <a:noFill/>
        <a:ln>
          <a:noFill/>
        </a:ln>
      </c:spPr>
    </c:title>
    <c:plotArea>
      <c:layout/>
      <c:lineChart>
        <c:grouping val="standard"/>
        <c:varyColors val="0"/>
        <c:ser>
          <c:idx val="0"/>
          <c:order val="0"/>
          <c:tx>
            <c:v>Starbucks</c:v>
          </c:tx>
          <c:extLst>
            <c:ext xmlns:c14="http://schemas.microsoft.com/office/drawing/2007/8/2/chart" uri="{6F2FDCE9-48DA-4B69-8628-5D25D57E5C99}">
              <c14:invertSolidFillFmt>
                <c14:spPr>
                  <a:solidFill>
                    <a:srgbClr val="000000"/>
                  </a:solidFill>
                </c14:spPr>
              </c14:invertSolidFillFmt>
            </c:ext>
          </c:extLst>
          <c:marker>
            <c:symbol val="none"/>
          </c:marker>
          <c:cat>
            <c:strRef>
              <c:f>data!$A$4:$A$103</c:f>
              <c:strCache>
                <c:ptCount val="100"/>
                <c:pt idx="0">
                  <c:v>33786</c:v>
                </c:pt>
                <c:pt idx="1">
                  <c:v>33817</c:v>
                </c:pt>
                <c:pt idx="2">
                  <c:v>33848</c:v>
                </c:pt>
                <c:pt idx="3">
                  <c:v>33878</c:v>
                </c:pt>
                <c:pt idx="4">
                  <c:v>33909</c:v>
                </c:pt>
                <c:pt idx="5">
                  <c:v>33939</c:v>
                </c:pt>
                <c:pt idx="6">
                  <c:v>33970</c:v>
                </c:pt>
                <c:pt idx="7">
                  <c:v>34001</c:v>
                </c:pt>
                <c:pt idx="8">
                  <c:v>34029</c:v>
                </c:pt>
                <c:pt idx="9">
                  <c:v>34060</c:v>
                </c:pt>
                <c:pt idx="10">
                  <c:v>34090</c:v>
                </c:pt>
                <c:pt idx="11">
                  <c:v>34121</c:v>
                </c:pt>
                <c:pt idx="12">
                  <c:v>34151</c:v>
                </c:pt>
                <c:pt idx="13">
                  <c:v>34182</c:v>
                </c:pt>
                <c:pt idx="14">
                  <c:v>34213</c:v>
                </c:pt>
                <c:pt idx="15">
                  <c:v>34243</c:v>
                </c:pt>
                <c:pt idx="16">
                  <c:v>34274</c:v>
                </c:pt>
                <c:pt idx="17">
                  <c:v>34304</c:v>
                </c:pt>
                <c:pt idx="18">
                  <c:v>34335</c:v>
                </c:pt>
                <c:pt idx="19">
                  <c:v>34366</c:v>
                </c:pt>
                <c:pt idx="20">
                  <c:v>34394</c:v>
                </c:pt>
                <c:pt idx="21">
                  <c:v>34425</c:v>
                </c:pt>
                <c:pt idx="22">
                  <c:v>34455</c:v>
                </c:pt>
                <c:pt idx="23">
                  <c:v>34486</c:v>
                </c:pt>
                <c:pt idx="24">
                  <c:v>34516</c:v>
                </c:pt>
                <c:pt idx="25">
                  <c:v>34547</c:v>
                </c:pt>
                <c:pt idx="26">
                  <c:v>34578</c:v>
                </c:pt>
                <c:pt idx="27">
                  <c:v>34608</c:v>
                </c:pt>
                <c:pt idx="28">
                  <c:v>34639</c:v>
                </c:pt>
                <c:pt idx="29">
                  <c:v>34669</c:v>
                </c:pt>
                <c:pt idx="30">
                  <c:v>34700</c:v>
                </c:pt>
                <c:pt idx="31">
                  <c:v>34731</c:v>
                </c:pt>
                <c:pt idx="32">
                  <c:v>34759</c:v>
                </c:pt>
                <c:pt idx="33">
                  <c:v>34790</c:v>
                </c:pt>
                <c:pt idx="34">
                  <c:v>34820</c:v>
                </c:pt>
                <c:pt idx="35">
                  <c:v>34851</c:v>
                </c:pt>
                <c:pt idx="36">
                  <c:v>34881</c:v>
                </c:pt>
                <c:pt idx="37">
                  <c:v>34912</c:v>
                </c:pt>
                <c:pt idx="38">
                  <c:v>34943</c:v>
                </c:pt>
                <c:pt idx="39">
                  <c:v>34973</c:v>
                </c:pt>
                <c:pt idx="40">
                  <c:v>35004</c:v>
                </c:pt>
                <c:pt idx="41">
                  <c:v>35034</c:v>
                </c:pt>
                <c:pt idx="42">
                  <c:v>35065</c:v>
                </c:pt>
                <c:pt idx="43">
                  <c:v>35096</c:v>
                </c:pt>
                <c:pt idx="44">
                  <c:v>35125</c:v>
                </c:pt>
                <c:pt idx="45">
                  <c:v>35156</c:v>
                </c:pt>
                <c:pt idx="46">
                  <c:v>35186</c:v>
                </c:pt>
                <c:pt idx="47">
                  <c:v>35217</c:v>
                </c:pt>
                <c:pt idx="48">
                  <c:v>35247</c:v>
                </c:pt>
                <c:pt idx="49">
                  <c:v>35278</c:v>
                </c:pt>
                <c:pt idx="50">
                  <c:v>35309</c:v>
                </c:pt>
                <c:pt idx="51">
                  <c:v>35339</c:v>
                </c:pt>
                <c:pt idx="52">
                  <c:v>35370</c:v>
                </c:pt>
                <c:pt idx="53">
                  <c:v>35400</c:v>
                </c:pt>
                <c:pt idx="54">
                  <c:v>35431</c:v>
                </c:pt>
                <c:pt idx="55">
                  <c:v>35462</c:v>
                </c:pt>
                <c:pt idx="56">
                  <c:v>35490</c:v>
                </c:pt>
                <c:pt idx="57">
                  <c:v>35521</c:v>
                </c:pt>
                <c:pt idx="58">
                  <c:v>35551</c:v>
                </c:pt>
                <c:pt idx="59">
                  <c:v>35582</c:v>
                </c:pt>
                <c:pt idx="60">
                  <c:v>35612</c:v>
                </c:pt>
                <c:pt idx="61">
                  <c:v>35643</c:v>
                </c:pt>
                <c:pt idx="62">
                  <c:v>35674</c:v>
                </c:pt>
                <c:pt idx="63">
                  <c:v>35704</c:v>
                </c:pt>
                <c:pt idx="64">
                  <c:v>35735</c:v>
                </c:pt>
                <c:pt idx="65">
                  <c:v>35765</c:v>
                </c:pt>
                <c:pt idx="66">
                  <c:v>35796</c:v>
                </c:pt>
                <c:pt idx="67">
                  <c:v>35827</c:v>
                </c:pt>
                <c:pt idx="68">
                  <c:v>35855</c:v>
                </c:pt>
                <c:pt idx="69">
                  <c:v>35886</c:v>
                </c:pt>
                <c:pt idx="70">
                  <c:v>35916</c:v>
                </c:pt>
                <c:pt idx="71">
                  <c:v>35947</c:v>
                </c:pt>
                <c:pt idx="72">
                  <c:v>35977</c:v>
                </c:pt>
                <c:pt idx="73">
                  <c:v>36008</c:v>
                </c:pt>
                <c:pt idx="74">
                  <c:v>36039</c:v>
                </c:pt>
                <c:pt idx="75">
                  <c:v>36069</c:v>
                </c:pt>
                <c:pt idx="76">
                  <c:v>36100</c:v>
                </c:pt>
                <c:pt idx="77">
                  <c:v>36130</c:v>
                </c:pt>
                <c:pt idx="78">
                  <c:v>36161</c:v>
                </c:pt>
                <c:pt idx="79">
                  <c:v>36192</c:v>
                </c:pt>
                <c:pt idx="80">
                  <c:v>36220</c:v>
                </c:pt>
                <c:pt idx="81">
                  <c:v>36251</c:v>
                </c:pt>
                <c:pt idx="82">
                  <c:v>36281</c:v>
                </c:pt>
                <c:pt idx="83">
                  <c:v>36312</c:v>
                </c:pt>
                <c:pt idx="84">
                  <c:v>36342</c:v>
                </c:pt>
                <c:pt idx="85">
                  <c:v>36373</c:v>
                </c:pt>
                <c:pt idx="86">
                  <c:v>36404</c:v>
                </c:pt>
                <c:pt idx="87">
                  <c:v>36434</c:v>
                </c:pt>
                <c:pt idx="88">
                  <c:v>36465</c:v>
                </c:pt>
                <c:pt idx="89">
                  <c:v>36495</c:v>
                </c:pt>
                <c:pt idx="90">
                  <c:v>36526</c:v>
                </c:pt>
                <c:pt idx="91">
                  <c:v>36557</c:v>
                </c:pt>
                <c:pt idx="92">
                  <c:v>36586</c:v>
                </c:pt>
                <c:pt idx="93">
                  <c:v>36617</c:v>
                </c:pt>
                <c:pt idx="94">
                  <c:v>36647</c:v>
                </c:pt>
                <c:pt idx="95">
                  <c:v>36678</c:v>
                </c:pt>
                <c:pt idx="96">
                  <c:v>36708</c:v>
                </c:pt>
                <c:pt idx="97">
                  <c:v>36739</c:v>
                </c:pt>
                <c:pt idx="98">
                  <c:v>36770</c:v>
                </c:pt>
                <c:pt idx="99">
                  <c:v>36800</c:v>
                </c:pt>
              </c:strCache>
            </c:strRef>
          </c:cat>
          <c: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val>
          <c:smooth val="0"/>
        </c:ser>
        <c:ser>
          <c:idx val="1"/>
          <c:order val="1"/>
          <c:tx>
            <c:v>Microsoft</c:v>
          </c:tx>
          <c:extLst>
            <c:ext xmlns:c14="http://schemas.microsoft.com/office/drawing/2007/8/2/chart" uri="{6F2FDCE9-48DA-4B69-8628-5D25D57E5C99}">
              <c14:invertSolidFillFmt>
                <c14:spPr>
                  <a:solidFill>
                    <a:srgbClr val="000000"/>
                  </a:solidFill>
                </c14:spPr>
              </c14:invertSolidFillFmt>
            </c:ext>
          </c:extLst>
          <c:marker>
            <c:symbol val="none"/>
          </c:marker>
          <c: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val>
          <c:smooth val="0"/>
        </c:ser>
        <c:ser>
          <c:idx val="2"/>
          <c:order val="2"/>
          <c:tx>
            <c:v>SP 500</c:v>
          </c:tx>
          <c:extLst>
            <c:ext xmlns:c14="http://schemas.microsoft.com/office/drawing/2007/8/2/chart" uri="{6F2FDCE9-48DA-4B69-8628-5D25D57E5C99}">
              <c14:invertSolidFillFmt>
                <c14:spPr>
                  <a:solidFill>
                    <a:srgbClr val="000000"/>
                  </a:solidFill>
                </c14:spPr>
              </c14:invertSolidFillFmt>
            </c:ext>
          </c:extLst>
          <c:marker>
            <c:symbol val="none"/>
          </c:marker>
          <c: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val>
          <c:smooth val="0"/>
        </c:ser>
        <c:ser>
          <c:idx val="3"/>
          <c:order val="3"/>
          <c:tx>
            <c:v>T-bill</c:v>
          </c:tx>
          <c:extLst>
            <c:ext xmlns:c14="http://schemas.microsoft.com/office/drawing/2007/8/2/chart" uri="{6F2FDCE9-48DA-4B69-8628-5D25D57E5C99}">
              <c14:invertSolidFillFmt>
                <c14:spPr>
                  <a:solidFill>
                    <a:srgbClr val="000000"/>
                  </a:solidFill>
                </c14:spPr>
              </c14:invertSolidFillFmt>
            </c:ext>
          </c:extLst>
          <c:marker>
            <c:symbol val="none"/>
          </c:marker>
          <c: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val>
          <c:smooth val="0"/>
        </c:ser>
        <c:axId val="21107026"/>
        <c:axId val="55745507"/>
      </c:lineChart>
      <c:dateAx>
        <c:axId val="21107026"/>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low"/>
        <c:crossAx val="55745507"/>
        <c:crosses val="autoZero"/>
        <c:auto val="0"/>
        <c:noMultiLvlLbl val="0"/>
      </c:dateAx>
      <c:valAx>
        <c:axId val="55745507"/>
        <c:scaling>
          <c:orientation val="minMax"/>
        </c:scaling>
        <c:axPos val="l"/>
        <c:title>
          <c:tx>
            <c:rich>
              <a:bodyPr vert="horz" rot="-5400000" anchor="ctr"/>
              <a:lstStyle/>
              <a:p>
                <a:pPr algn="ctr">
                  <a:defRPr/>
                </a:pPr>
                <a:r>
                  <a:rPr lang="en-US" cap="none" sz="1000" b="1" i="0" u="none" baseline="0">
                    <a:latin typeface="Arial"/>
                    <a:ea typeface="Arial"/>
                    <a:cs typeface="Arial"/>
                  </a:rPr>
                  <a:t>Returns</a:t>
                </a:r>
              </a:p>
            </c:rich>
          </c:tx>
          <c:layout/>
          <c:overlay val="0"/>
          <c:spPr>
            <a:noFill/>
            <a:ln>
              <a:noFill/>
            </a:ln>
          </c:spPr>
        </c:title>
        <c:majorGridlines/>
        <c:delete val="0"/>
        <c:numFmt formatCode="General" sourceLinked="1"/>
        <c:majorTickMark val="out"/>
        <c:minorTickMark val="none"/>
        <c:tickLblPos val="nextTo"/>
        <c:crossAx val="211070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xVal>
          <c:y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yVal>
          <c:smooth val="0"/>
        </c:ser>
        <c:axId val="54118604"/>
        <c:axId val="17305389"/>
      </c:scatterChart>
      <c:valAx>
        <c:axId val="54118604"/>
        <c:scaling>
          <c:orientation val="minMax"/>
          <c:max val="0.27966705915226586"/>
          <c:min val="-0.47970108026206104"/>
        </c:scaling>
        <c:axPos val="b"/>
        <c:delete val="1"/>
        <c:majorTickMark val="out"/>
        <c:minorTickMark val="none"/>
        <c:tickLblPos val="nextTo"/>
        <c:crossAx val="17305389"/>
        <c:crosses val="autoZero"/>
        <c:crossBetween val="midCat"/>
        <c:dispUnits/>
      </c:valAx>
      <c:valAx>
        <c:axId val="17305389"/>
        <c:scaling>
          <c:orientation val="minMax"/>
          <c:max val="0.09232381212222356"/>
          <c:min val="-0.15758607007429418"/>
        </c:scaling>
        <c:axPos val="l"/>
        <c:delete val="1"/>
        <c:majorTickMark val="out"/>
        <c:minorTickMark val="none"/>
        <c:tickLblPos val="nextTo"/>
        <c:crossAx val="54118604"/>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xVal>
          <c:y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yVal>
          <c:smooth val="0"/>
        </c:ser>
        <c:axId val="21530774"/>
        <c:axId val="59559239"/>
      </c:scatterChart>
      <c:valAx>
        <c:axId val="21530774"/>
        <c:scaling>
          <c:orientation val="minMax"/>
          <c:max val="0.27966705915226586"/>
          <c:min val="-0.47970108026206104"/>
        </c:scaling>
        <c:axPos val="b"/>
        <c:delete val="1"/>
        <c:majorTickMark val="out"/>
        <c:minorTickMark val="none"/>
        <c:tickLblPos val="nextTo"/>
        <c:crossAx val="59559239"/>
        <c:crosses val="autoZero"/>
        <c:crossBetween val="midCat"/>
        <c:dispUnits/>
      </c:valAx>
      <c:valAx>
        <c:axId val="59559239"/>
        <c:scaling>
          <c:orientation val="minMax"/>
          <c:max val="0.005083418463116508"/>
          <c:min val="0.002406579962531351"/>
        </c:scaling>
        <c:axPos val="l"/>
        <c:delete val="1"/>
        <c:majorTickMark val="out"/>
        <c:minorTickMark val="none"/>
        <c:tickLblPos val="nextTo"/>
        <c:crossAx val="21530774"/>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xVal>
          <c:y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yVal>
          <c:smooth val="0"/>
        </c:ser>
        <c:axId val="66271104"/>
        <c:axId val="59569025"/>
      </c:scatterChart>
      <c:valAx>
        <c:axId val="66271104"/>
        <c:scaling>
          <c:orientation val="minMax"/>
          <c:max val="0.09232381212222356"/>
          <c:min val="-0.15758607007429418"/>
        </c:scaling>
        <c:axPos val="b"/>
        <c:delete val="1"/>
        <c:majorTickMark val="out"/>
        <c:minorTickMark val="none"/>
        <c:tickLblPos val="nextTo"/>
        <c:crossAx val="59569025"/>
        <c:crosses val="autoZero"/>
        <c:crossBetween val="midCat"/>
        <c:dispUnits/>
      </c:valAx>
      <c:valAx>
        <c:axId val="59569025"/>
        <c:scaling>
          <c:orientation val="minMax"/>
          <c:max val="0.281527116216784"/>
          <c:min val="-0.42087738710305117"/>
        </c:scaling>
        <c:axPos val="l"/>
        <c:delete val="1"/>
        <c:majorTickMark val="out"/>
        <c:minorTickMark val="none"/>
        <c:tickLblPos val="nextTo"/>
        <c:crossAx val="66271104"/>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xVal>
          <c:y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yVal>
          <c:smooth val="0"/>
        </c:ser>
        <c:axId val="66359178"/>
        <c:axId val="60361691"/>
      </c:scatterChart>
      <c:valAx>
        <c:axId val="66359178"/>
        <c:scaling>
          <c:orientation val="minMax"/>
          <c:max val="0.09232381212222356"/>
          <c:min val="-0.15758607007429418"/>
        </c:scaling>
        <c:axPos val="b"/>
        <c:delete val="1"/>
        <c:majorTickMark val="out"/>
        <c:minorTickMark val="none"/>
        <c:tickLblPos val="nextTo"/>
        <c:crossAx val="60361691"/>
        <c:crosses val="autoZero"/>
        <c:crossBetween val="midCat"/>
        <c:dispUnits/>
      </c:valAx>
      <c:valAx>
        <c:axId val="60361691"/>
        <c:scaling>
          <c:orientation val="minMax"/>
          <c:max val="0.27966705915226586"/>
          <c:min val="-0.47970108026206104"/>
        </c:scaling>
        <c:axPos val="l"/>
        <c:delete val="1"/>
        <c:majorTickMark val="out"/>
        <c:minorTickMark val="none"/>
        <c:tickLblPos val="nextTo"/>
        <c:crossAx val="66359178"/>
        <c:crosses val="autoZero"/>
        <c:crossBetween val="midCat"/>
        <c:dispUnits/>
      </c:valAx>
      <c:spPr>
        <a:noFill/>
        <a:ln>
          <a:noFill/>
        </a:ln>
      </c:spPr>
    </c:plotArea>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84308"/>
        <c:axId val="57458773"/>
      </c:barChart>
      <c:catAx>
        <c:axId val="6384308"/>
        <c:scaling>
          <c:orientation val="minMax"/>
        </c:scaling>
        <c:axPos val="b"/>
        <c:delete val="0"/>
        <c:numFmt formatCode="General" sourceLinked="1"/>
        <c:majorTickMark val="out"/>
        <c:minorTickMark val="none"/>
        <c:tickLblPos val="nextTo"/>
        <c:crossAx val="57458773"/>
        <c:crosses val="autoZero"/>
        <c:auto val="1"/>
        <c:lblOffset val="100"/>
        <c:noMultiLvlLbl val="0"/>
      </c:catAx>
      <c:valAx>
        <c:axId val="57458773"/>
        <c:scaling>
          <c:orientation val="minMax"/>
        </c:scaling>
        <c:axPos val="l"/>
        <c:majorGridlines/>
        <c:delete val="0"/>
        <c:numFmt formatCode="General" sourceLinked="1"/>
        <c:majorTickMark val="out"/>
        <c:minorTickMark val="none"/>
        <c:tickLblPos val="nextTo"/>
        <c:crossAx val="63843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xVal>
          <c:y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yVal>
          <c:smooth val="0"/>
        </c:ser>
        <c:axId val="47366910"/>
        <c:axId val="23649007"/>
      </c:scatterChart>
      <c:valAx>
        <c:axId val="47366910"/>
        <c:scaling>
          <c:orientation val="minMax"/>
          <c:max val="0.09232381212222356"/>
          <c:min val="-0.15758607007429418"/>
        </c:scaling>
        <c:axPos val="b"/>
        <c:delete val="1"/>
        <c:majorTickMark val="out"/>
        <c:minorTickMark val="none"/>
        <c:tickLblPos val="nextTo"/>
        <c:crossAx val="23649007"/>
        <c:crosses val="autoZero"/>
        <c:crossBetween val="midCat"/>
        <c:dispUnits/>
      </c:valAx>
      <c:valAx>
        <c:axId val="23649007"/>
        <c:scaling>
          <c:orientation val="minMax"/>
          <c:max val="0.005083418463116508"/>
          <c:min val="0.002406579962531351"/>
        </c:scaling>
        <c:axPos val="l"/>
        <c:delete val="1"/>
        <c:majorTickMark val="out"/>
        <c:minorTickMark val="none"/>
        <c:tickLblPos val="nextTo"/>
        <c:crossAx val="47366910"/>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xVal>
          <c:y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yVal>
          <c:smooth val="0"/>
        </c:ser>
        <c:axId val="11514472"/>
        <c:axId val="36521385"/>
      </c:scatterChart>
      <c:valAx>
        <c:axId val="11514472"/>
        <c:scaling>
          <c:orientation val="minMax"/>
          <c:max val="0.005083418463116508"/>
          <c:min val="0.002406579962531351"/>
        </c:scaling>
        <c:axPos val="b"/>
        <c:delete val="1"/>
        <c:majorTickMark val="out"/>
        <c:minorTickMark val="none"/>
        <c:tickLblPos val="nextTo"/>
        <c:crossAx val="36521385"/>
        <c:crosses val="autoZero"/>
        <c:crossBetween val="midCat"/>
        <c:dispUnits/>
      </c:valAx>
      <c:valAx>
        <c:axId val="36521385"/>
        <c:scaling>
          <c:orientation val="minMax"/>
          <c:max val="0.281527116216784"/>
          <c:min val="-0.42087738710305117"/>
        </c:scaling>
        <c:axPos val="l"/>
        <c:delete val="1"/>
        <c:majorTickMark val="out"/>
        <c:minorTickMark val="none"/>
        <c:tickLblPos val="nextTo"/>
        <c:crossAx val="11514472"/>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xVal>
          <c:y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yVal>
          <c:smooth val="0"/>
        </c:ser>
        <c:axId val="60257010"/>
        <c:axId val="5442179"/>
      </c:scatterChart>
      <c:valAx>
        <c:axId val="60257010"/>
        <c:scaling>
          <c:orientation val="minMax"/>
          <c:max val="0.005083418463116508"/>
          <c:min val="0.002406579962531351"/>
        </c:scaling>
        <c:axPos val="b"/>
        <c:delete val="1"/>
        <c:majorTickMark val="out"/>
        <c:minorTickMark val="none"/>
        <c:tickLblPos val="nextTo"/>
        <c:crossAx val="5442179"/>
        <c:crosses val="autoZero"/>
        <c:crossBetween val="midCat"/>
        <c:dispUnits/>
      </c:valAx>
      <c:valAx>
        <c:axId val="5442179"/>
        <c:scaling>
          <c:orientation val="minMax"/>
          <c:max val="0.27966705915226586"/>
          <c:min val="-0.47970108026206104"/>
        </c:scaling>
        <c:axPos val="l"/>
        <c:delete val="1"/>
        <c:majorTickMark val="out"/>
        <c:minorTickMark val="none"/>
        <c:tickLblPos val="nextTo"/>
        <c:crossAx val="60257010"/>
        <c:crosses val="autoZero"/>
        <c:crossBetween val="midCat"/>
        <c:dispUnits/>
      </c:valAx>
      <c:spPr>
        <a:noFill/>
        <a:ln>
          <a:noFill/>
        </a:ln>
      </c:spPr>
    </c:plotArea>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xVal>
          <c:y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yVal>
          <c:smooth val="0"/>
        </c:ser>
        <c:axId val="48979612"/>
        <c:axId val="38163325"/>
      </c:scatterChart>
      <c:valAx>
        <c:axId val="48979612"/>
        <c:scaling>
          <c:orientation val="minMax"/>
          <c:max val="0.005083418463116508"/>
          <c:min val="0.002406579962531351"/>
        </c:scaling>
        <c:axPos val="b"/>
        <c:delete val="1"/>
        <c:majorTickMark val="out"/>
        <c:minorTickMark val="none"/>
        <c:tickLblPos val="nextTo"/>
        <c:crossAx val="38163325"/>
        <c:crosses val="autoZero"/>
        <c:crossBetween val="midCat"/>
        <c:dispUnits/>
      </c:valAx>
      <c:valAx>
        <c:axId val="38163325"/>
        <c:scaling>
          <c:orientation val="minMax"/>
          <c:max val="0.09232381212222356"/>
          <c:min val="-0.15758607007429418"/>
        </c:scaling>
        <c:axPos val="l"/>
        <c:delete val="1"/>
        <c:majorTickMark val="out"/>
        <c:minorTickMark val="none"/>
        <c:tickLblPos val="nextTo"/>
        <c:crossAx val="48979612"/>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925606"/>
        <c:axId val="4221591"/>
      </c:barChart>
      <c:catAx>
        <c:axId val="7925606"/>
        <c:scaling>
          <c:orientation val="minMax"/>
        </c:scaling>
        <c:axPos val="b"/>
        <c:delete val="0"/>
        <c:numFmt formatCode="General" sourceLinked="1"/>
        <c:majorTickMark val="out"/>
        <c:minorTickMark val="none"/>
        <c:tickLblPos val="nextTo"/>
        <c:crossAx val="4221591"/>
        <c:crosses val="autoZero"/>
        <c:auto val="1"/>
        <c:lblOffset val="100"/>
        <c:noMultiLvlLbl val="0"/>
      </c:catAx>
      <c:valAx>
        <c:axId val="4221591"/>
        <c:scaling>
          <c:orientation val="minMax"/>
        </c:scaling>
        <c:axPos val="l"/>
        <c:majorGridlines/>
        <c:delete val="0"/>
        <c:numFmt formatCode="General" sourceLinked="1"/>
        <c:majorTickMark val="out"/>
        <c:minorTickMark val="none"/>
        <c:tickLblPos val="nextTo"/>
        <c:crossAx val="79256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Variable 1</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XYZZ'!$AC$3:$AC$17</c:f>
              <c:numCache>
                <c:ptCount val="15"/>
                <c:pt idx="0">
                  <c:v>-0.48215692226036516</c:v>
                </c:pt>
                <c:pt idx="1">
                  <c:v>-0.4315323796327434</c:v>
                </c:pt>
                <c:pt idx="2">
                  <c:v>-0.3809078370051216</c:v>
                </c:pt>
                <c:pt idx="3">
                  <c:v>-0.3302832943774998</c:v>
                </c:pt>
                <c:pt idx="4">
                  <c:v>-0.279658751749878</c:v>
                </c:pt>
                <c:pt idx="5">
                  <c:v>-0.2290342091222562</c:v>
                </c:pt>
                <c:pt idx="6">
                  <c:v>-0.17840966649463436</c:v>
                </c:pt>
                <c:pt idx="7">
                  <c:v>-0.12778512386701257</c:v>
                </c:pt>
                <c:pt idx="8">
                  <c:v>-0.07716058123939079</c:v>
                </c:pt>
                <c:pt idx="9">
                  <c:v>-0.02653603861176901</c:v>
                </c:pt>
                <c:pt idx="10">
                  <c:v>0.02408850401585283</c:v>
                </c:pt>
                <c:pt idx="11">
                  <c:v>0.07471304664347467</c:v>
                </c:pt>
                <c:pt idx="12">
                  <c:v>0.1253375892710965</c:v>
                </c:pt>
                <c:pt idx="13">
                  <c:v>0.17596213189871823</c:v>
                </c:pt>
                <c:pt idx="14">
                  <c:v>0.22658667452634007</c:v>
                </c:pt>
              </c:numCache>
            </c:numRef>
          </c:cat>
          <c:val>
            <c:numRef>
              <c:f>'Histogram Parameters XYZZ'!$AD$3:$AD$17</c:f>
              <c:numCache>
                <c:ptCount val="15"/>
                <c:pt idx="0">
                  <c:v>0.01</c:v>
                </c:pt>
                <c:pt idx="1">
                  <c:v>0.01</c:v>
                </c:pt>
                <c:pt idx="2">
                  <c:v>0</c:v>
                </c:pt>
                <c:pt idx="3">
                  <c:v>0.01</c:v>
                </c:pt>
                <c:pt idx="4">
                  <c:v>0.02</c:v>
                </c:pt>
                <c:pt idx="5">
                  <c:v>0.04</c:v>
                </c:pt>
                <c:pt idx="6">
                  <c:v>0.02</c:v>
                </c:pt>
                <c:pt idx="7">
                  <c:v>0.04</c:v>
                </c:pt>
                <c:pt idx="8">
                  <c:v>0.09</c:v>
                </c:pt>
                <c:pt idx="9">
                  <c:v>0.27</c:v>
                </c:pt>
                <c:pt idx="10">
                  <c:v>0.17</c:v>
                </c:pt>
                <c:pt idx="11">
                  <c:v>0.11</c:v>
                </c:pt>
                <c:pt idx="12">
                  <c:v>0.05</c:v>
                </c:pt>
                <c:pt idx="13">
                  <c:v>0.1</c:v>
                </c:pt>
                <c:pt idx="14">
                  <c:v>0.06</c:v>
                </c:pt>
              </c:numCache>
            </c:numRef>
          </c:val>
        </c:ser>
        <c:gapWidth val="0"/>
        <c:axId val="31947516"/>
        <c:axId val="19092189"/>
      </c:barChart>
      <c:catAx>
        <c:axId val="3194751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9092189"/>
        <c:crosses val="autoZero"/>
        <c:auto val="1"/>
        <c:lblOffset val="100"/>
        <c:noMultiLvlLbl val="0"/>
      </c:catAx>
      <c:valAx>
        <c:axId val="19092189"/>
        <c:scaling>
          <c:orientation val="minMax"/>
        </c:scaling>
        <c:axPos val="l"/>
        <c:delete val="0"/>
        <c:numFmt formatCode="General" sourceLinked="1"/>
        <c:majorTickMark val="out"/>
        <c:minorTickMark val="none"/>
        <c:tickLblPos val="nextTo"/>
        <c:crossAx val="3194751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MSFT vs SBUX</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xVal>
          <c:y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yVal>
          <c:smooth val="0"/>
        </c:ser>
        <c:axId val="37994320"/>
        <c:axId val="6404561"/>
      </c:scatterChart>
      <c:valAx>
        <c:axId val="37994320"/>
        <c:scaling>
          <c:orientation val="minMax"/>
        </c:scaling>
        <c:axPos val="b"/>
        <c:title>
          <c:tx>
            <c:rich>
              <a:bodyPr vert="horz" rot="0" anchor="ctr"/>
              <a:lstStyle/>
              <a:p>
                <a:pPr algn="ctr">
                  <a:defRPr/>
                </a:pPr>
                <a:r>
                  <a:rPr lang="en-US" cap="none" sz="1550" b="1" i="0" u="none" baseline="0">
                    <a:latin typeface="Arial"/>
                    <a:ea typeface="Arial"/>
                    <a:cs typeface="Arial"/>
                  </a:rPr>
                  <a:t>MSFT</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6404561"/>
        <c:crosses val="autoZero"/>
        <c:crossBetween val="midCat"/>
        <c:dispUnits/>
      </c:valAx>
      <c:valAx>
        <c:axId val="6404561"/>
        <c:scaling>
          <c:orientation val="minMax"/>
        </c:scaling>
        <c:axPos val="l"/>
        <c:title>
          <c:tx>
            <c:rich>
              <a:bodyPr vert="horz" rot="-5400000" anchor="ctr"/>
              <a:lstStyle/>
              <a:p>
                <a:pPr algn="ctr">
                  <a:defRPr/>
                </a:pPr>
                <a:r>
                  <a:rPr lang="en-US" cap="none" sz="1550" b="1" i="0" u="none" baseline="0">
                    <a:latin typeface="Arial"/>
                    <a:ea typeface="Arial"/>
                    <a:cs typeface="Arial"/>
                  </a:rPr>
                  <a:t>SBUX</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3799432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Microsoft</a:t>
            </a:r>
          </a:p>
        </c:rich>
      </c:tx>
      <c:layout/>
      <c:spPr>
        <a:noFill/>
        <a:ln>
          <a:noFill/>
        </a:ln>
      </c:spPr>
    </c:title>
    <c:plotArea>
      <c:layout/>
      <c:barChart>
        <c:barDir val="col"/>
        <c:grouping val="clustered"/>
        <c:varyColors val="0"/>
        <c:ser>
          <c:idx val="0"/>
          <c:order val="0"/>
          <c:tx>
            <c:v>rmsft</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XYZZ'!$AF$3:$AF$17</c:f>
              <c:numCache>
                <c:ptCount val="15"/>
                <c:pt idx="0">
                  <c:v>-0.42087738710305117</c:v>
                </c:pt>
                <c:pt idx="1">
                  <c:v>-0.3740504202150622</c:v>
                </c:pt>
                <c:pt idx="2">
                  <c:v>-0.32722345332707314</c:v>
                </c:pt>
                <c:pt idx="3">
                  <c:v>-0.2803964864390841</c:v>
                </c:pt>
                <c:pt idx="4">
                  <c:v>-0.23356951955109512</c:v>
                </c:pt>
                <c:pt idx="5">
                  <c:v>-0.18674255266310613</c:v>
                </c:pt>
                <c:pt idx="6">
                  <c:v>-0.1399155857751171</c:v>
                </c:pt>
                <c:pt idx="7">
                  <c:v>-0.0930886188871281</c:v>
                </c:pt>
                <c:pt idx="8">
                  <c:v>-0.046261651999139064</c:v>
                </c:pt>
                <c:pt idx="9">
                  <c:v>0.0005653148888499215</c:v>
                </c:pt>
                <c:pt idx="10">
                  <c:v>0.04739228177683891</c:v>
                </c:pt>
                <c:pt idx="11">
                  <c:v>0.09421924866482795</c:v>
                </c:pt>
                <c:pt idx="12">
                  <c:v>0.141046215552817</c:v>
                </c:pt>
                <c:pt idx="13">
                  <c:v>0.18787318244080603</c:v>
                </c:pt>
                <c:pt idx="14">
                  <c:v>0.23470014932879496</c:v>
                </c:pt>
              </c:numCache>
            </c:numRef>
          </c:cat>
          <c:val>
            <c:numRef>
              <c:f>'Histogram Parameters XYZZ'!$AG$3:$AG$17</c:f>
              <c:numCache>
                <c:ptCount val="15"/>
                <c:pt idx="0">
                  <c:v>0.01</c:v>
                </c:pt>
                <c:pt idx="1">
                  <c:v>0</c:v>
                </c:pt>
                <c:pt idx="2">
                  <c:v>0</c:v>
                </c:pt>
                <c:pt idx="3">
                  <c:v>0</c:v>
                </c:pt>
                <c:pt idx="4">
                  <c:v>0</c:v>
                </c:pt>
                <c:pt idx="5">
                  <c:v>0.04</c:v>
                </c:pt>
                <c:pt idx="6">
                  <c:v>0.05</c:v>
                </c:pt>
                <c:pt idx="7">
                  <c:v>0.09</c:v>
                </c:pt>
                <c:pt idx="8">
                  <c:v>0.19</c:v>
                </c:pt>
                <c:pt idx="9">
                  <c:v>0.2</c:v>
                </c:pt>
                <c:pt idx="10">
                  <c:v>0.17</c:v>
                </c:pt>
                <c:pt idx="11">
                  <c:v>0.14</c:v>
                </c:pt>
                <c:pt idx="12">
                  <c:v>0.05</c:v>
                </c:pt>
                <c:pt idx="13">
                  <c:v>0.02</c:v>
                </c:pt>
                <c:pt idx="14">
                  <c:v>0.04</c:v>
                </c:pt>
              </c:numCache>
            </c:numRef>
          </c:val>
        </c:ser>
        <c:gapWidth val="0"/>
        <c:axId val="57641050"/>
        <c:axId val="49007403"/>
      </c:barChart>
      <c:catAx>
        <c:axId val="57641050"/>
        <c:scaling>
          <c:orientation val="minMax"/>
        </c:scaling>
        <c:axPos val="b"/>
        <c:title>
          <c:tx>
            <c:rich>
              <a:bodyPr vert="horz" rot="0" anchor="ctr"/>
              <a:lstStyle/>
              <a:p>
                <a:pPr algn="ctr">
                  <a:defRPr/>
                </a:pPr>
                <a:r>
                  <a:rPr lang="en-US" cap="none" sz="10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9007403"/>
        <c:crosses val="autoZero"/>
        <c:auto val="1"/>
        <c:lblOffset val="100"/>
        <c:noMultiLvlLbl val="0"/>
      </c:catAx>
      <c:valAx>
        <c:axId val="49007403"/>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5764105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Microsoft</a:t>
            </a:r>
          </a:p>
        </c:rich>
      </c:tx>
      <c:layout/>
      <c:spPr>
        <a:noFill/>
        <a:ln>
          <a:noFill/>
        </a:ln>
      </c:spPr>
    </c:title>
    <c:plotArea>
      <c:layout/>
      <c:barChart>
        <c:barDir val="col"/>
        <c:grouping val="clustered"/>
        <c:varyColors val="0"/>
        <c:ser>
          <c:idx val="0"/>
          <c:order val="0"/>
          <c:tx>
            <c:v>rmsft</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XYZZ'!$BJ$3:$BJ$17</c:f>
              <c:numCache>
                <c:ptCount val="15"/>
                <c:pt idx="0">
                  <c:v>-0.39746390365905665</c:v>
                </c:pt>
                <c:pt idx="1">
                  <c:v>-0.35063693677106766</c:v>
                </c:pt>
                <c:pt idx="2">
                  <c:v>-0.3038099698830786</c:v>
                </c:pt>
                <c:pt idx="3">
                  <c:v>-0.25698300299508964</c:v>
                </c:pt>
                <c:pt idx="4">
                  <c:v>-0.21015603610710062</c:v>
                </c:pt>
                <c:pt idx="5">
                  <c:v>-0.1633290692191116</c:v>
                </c:pt>
                <c:pt idx="6">
                  <c:v>-0.11650210233112257</c:v>
                </c:pt>
                <c:pt idx="7">
                  <c:v>-0.06967513544313358</c:v>
                </c:pt>
                <c:pt idx="8">
                  <c:v>-0.0228481685551446</c:v>
                </c:pt>
                <c:pt idx="9">
                  <c:v>0.023978798332844442</c:v>
                </c:pt>
                <c:pt idx="10">
                  <c:v>0.07080576522083343</c:v>
                </c:pt>
                <c:pt idx="11">
                  <c:v>0.11763273210882247</c:v>
                </c:pt>
                <c:pt idx="12">
                  <c:v>0.1644596989968115</c:v>
                </c:pt>
                <c:pt idx="13">
                  <c:v>0.21128666588480055</c:v>
                </c:pt>
                <c:pt idx="14">
                  <c:v>0.2581136327727895</c:v>
                </c:pt>
              </c:numCache>
            </c:numRef>
          </c:cat>
          <c:val>
            <c:numRef>
              <c:f>'Histogram Parameters XYZZ'!$BK$3:$BK$17</c:f>
              <c:numCache>
                <c:ptCount val="15"/>
                <c:pt idx="0">
                  <c:v>0.01</c:v>
                </c:pt>
                <c:pt idx="1">
                  <c:v>0</c:v>
                </c:pt>
                <c:pt idx="2">
                  <c:v>0</c:v>
                </c:pt>
                <c:pt idx="3">
                  <c:v>0</c:v>
                </c:pt>
                <c:pt idx="4">
                  <c:v>0</c:v>
                </c:pt>
                <c:pt idx="5">
                  <c:v>0.04</c:v>
                </c:pt>
                <c:pt idx="6">
                  <c:v>0.05</c:v>
                </c:pt>
                <c:pt idx="7">
                  <c:v>0.09</c:v>
                </c:pt>
                <c:pt idx="8">
                  <c:v>0.19</c:v>
                </c:pt>
                <c:pt idx="9">
                  <c:v>0.2</c:v>
                </c:pt>
                <c:pt idx="10">
                  <c:v>0.17</c:v>
                </c:pt>
                <c:pt idx="11">
                  <c:v>0.14</c:v>
                </c:pt>
                <c:pt idx="12">
                  <c:v>0.05</c:v>
                </c:pt>
                <c:pt idx="13">
                  <c:v>0.02</c:v>
                </c:pt>
                <c:pt idx="14">
                  <c:v>0.04</c:v>
                </c:pt>
              </c:numCache>
            </c:numRef>
          </c:val>
        </c:ser>
        <c:gapWidth val="0"/>
        <c:axId val="38413444"/>
        <c:axId val="10176677"/>
      </c:barChart>
      <c:catAx>
        <c:axId val="38413444"/>
        <c:scaling>
          <c:orientation val="minMax"/>
        </c:scaling>
        <c:axPos val="b"/>
        <c:title>
          <c:tx>
            <c:rich>
              <a:bodyPr vert="horz" rot="0" anchor="ctr"/>
              <a:lstStyle/>
              <a:p>
                <a:pPr algn="ctr">
                  <a:defRPr/>
                </a:pPr>
                <a:r>
                  <a:rPr lang="en-US" cap="none" sz="1000" b="1" i="0" u="none" baseline="0">
                    <a:latin typeface="Arial"/>
                    <a:ea typeface="Arial"/>
                    <a:cs typeface="Arial"/>
                  </a:rPr>
                  <a:t>returns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0176677"/>
        <c:crosses val="autoZero"/>
        <c:auto val="1"/>
        <c:lblOffset val="100"/>
        <c:noMultiLvlLbl val="0"/>
      </c:catAx>
      <c:valAx>
        <c:axId val="10176677"/>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3841344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Microsoft</a:t>
            </a:r>
          </a:p>
        </c:rich>
      </c:tx>
      <c:layout/>
      <c:spPr>
        <a:noFill/>
        <a:ln>
          <a:noFill/>
        </a:ln>
      </c:spPr>
    </c:title>
    <c:plotArea>
      <c:layout/>
      <c:barChart>
        <c:barDir val="col"/>
        <c:grouping val="clustered"/>
        <c:varyColors val="0"/>
        <c:ser>
          <c:idx val="0"/>
          <c:order val="0"/>
          <c:tx>
            <c:v>rmsft</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XYZZ'!$AF$3:$AF$17</c:f>
              <c:numCache>
                <c:ptCount val="15"/>
                <c:pt idx="0">
                  <c:v>-0.42087738710305117</c:v>
                </c:pt>
                <c:pt idx="1">
                  <c:v>-0.3740504202150622</c:v>
                </c:pt>
                <c:pt idx="2">
                  <c:v>-0.32722345332707314</c:v>
                </c:pt>
                <c:pt idx="3">
                  <c:v>-0.2803964864390841</c:v>
                </c:pt>
                <c:pt idx="4">
                  <c:v>-0.23356951955109512</c:v>
                </c:pt>
                <c:pt idx="5">
                  <c:v>-0.18674255266310613</c:v>
                </c:pt>
                <c:pt idx="6">
                  <c:v>-0.1399155857751171</c:v>
                </c:pt>
                <c:pt idx="7">
                  <c:v>-0.0930886188871281</c:v>
                </c:pt>
                <c:pt idx="8">
                  <c:v>-0.046261651999139064</c:v>
                </c:pt>
                <c:pt idx="9">
                  <c:v>0.0005653148888499215</c:v>
                </c:pt>
                <c:pt idx="10">
                  <c:v>0.04739228177683891</c:v>
                </c:pt>
                <c:pt idx="11">
                  <c:v>0.09421924866482795</c:v>
                </c:pt>
                <c:pt idx="12">
                  <c:v>0.141046215552817</c:v>
                </c:pt>
                <c:pt idx="13">
                  <c:v>0.18787318244080603</c:v>
                </c:pt>
                <c:pt idx="14">
                  <c:v>0.23470014932879496</c:v>
                </c:pt>
              </c:numCache>
            </c:numRef>
          </c:cat>
          <c:val>
            <c:numRef>
              <c:f>'Histogram Parameters XYZZ'!$AG$3:$AG$17</c:f>
              <c:numCache>
                <c:ptCount val="15"/>
                <c:pt idx="0">
                  <c:v>0.01</c:v>
                </c:pt>
                <c:pt idx="1">
                  <c:v>0</c:v>
                </c:pt>
                <c:pt idx="2">
                  <c:v>0</c:v>
                </c:pt>
                <c:pt idx="3">
                  <c:v>0</c:v>
                </c:pt>
                <c:pt idx="4">
                  <c:v>0</c:v>
                </c:pt>
                <c:pt idx="5">
                  <c:v>0.04</c:v>
                </c:pt>
                <c:pt idx="6">
                  <c:v>0.05</c:v>
                </c:pt>
                <c:pt idx="7">
                  <c:v>0.09</c:v>
                </c:pt>
                <c:pt idx="8">
                  <c:v>0.19</c:v>
                </c:pt>
                <c:pt idx="9">
                  <c:v>0.2</c:v>
                </c:pt>
                <c:pt idx="10">
                  <c:v>0.17</c:v>
                </c:pt>
                <c:pt idx="11">
                  <c:v>0.14</c:v>
                </c:pt>
                <c:pt idx="12">
                  <c:v>0.05</c:v>
                </c:pt>
                <c:pt idx="13">
                  <c:v>0.02</c:v>
                </c:pt>
                <c:pt idx="14">
                  <c:v>0.04</c:v>
                </c:pt>
              </c:numCache>
            </c:numRef>
          </c:val>
        </c:ser>
        <c:gapWidth val="0"/>
        <c:axId val="24481230"/>
        <c:axId val="19004479"/>
      </c:barChart>
      <c:catAx>
        <c:axId val="24481230"/>
        <c:scaling>
          <c:orientation val="minMax"/>
        </c:scaling>
        <c:axPos val="b"/>
        <c:title>
          <c:tx>
            <c:rich>
              <a:bodyPr vert="horz" rot="0" anchor="ctr"/>
              <a:lstStyle/>
              <a:p>
                <a:pPr algn="ctr">
                  <a:defRPr/>
                </a:pPr>
                <a:r>
                  <a:rPr lang="en-US" cap="none" sz="10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9004479"/>
        <c:crosses val="autoZero"/>
        <c:auto val="1"/>
        <c:lblOffset val="100"/>
        <c:noMultiLvlLbl val="0"/>
      </c:catAx>
      <c:valAx>
        <c:axId val="19004479"/>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2448123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Starbucks</a:t>
            </a:r>
          </a:p>
        </c:rich>
      </c:tx>
      <c:layout/>
      <c:spPr>
        <a:noFill/>
        <a:ln>
          <a:noFill/>
        </a:ln>
      </c:spPr>
    </c:title>
    <c:plotArea>
      <c:layout/>
      <c:barChart>
        <c:barDir val="col"/>
        <c:grouping val="clustered"/>
        <c:varyColors val="0"/>
        <c:ser>
          <c:idx val="0"/>
          <c:order val="0"/>
          <c:tx>
            <c:v>rsbux</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XYZZ'!$AO$3:$AO$17</c:f>
              <c:numCache>
                <c:ptCount val="15"/>
                <c:pt idx="0">
                  <c:v>-0.4543888089482501</c:v>
                </c:pt>
                <c:pt idx="1">
                  <c:v>-0.40376426632062834</c:v>
                </c:pt>
                <c:pt idx="2">
                  <c:v>-0.35313972369300656</c:v>
                </c:pt>
                <c:pt idx="3">
                  <c:v>-0.3025151810653848</c:v>
                </c:pt>
                <c:pt idx="4">
                  <c:v>-0.251890638437763</c:v>
                </c:pt>
                <c:pt idx="5">
                  <c:v>-0.2012660958101412</c:v>
                </c:pt>
                <c:pt idx="6">
                  <c:v>-0.15064155318251937</c:v>
                </c:pt>
                <c:pt idx="7">
                  <c:v>-0.10001701055489759</c:v>
                </c:pt>
                <c:pt idx="8">
                  <c:v>-0.04939246792727581</c:v>
                </c:pt>
                <c:pt idx="9">
                  <c:v>0.0012320747003459753</c:v>
                </c:pt>
                <c:pt idx="10">
                  <c:v>0.05185661732796776</c:v>
                </c:pt>
                <c:pt idx="11">
                  <c:v>0.1024811599555896</c:v>
                </c:pt>
                <c:pt idx="12">
                  <c:v>0.15310570258321143</c:v>
                </c:pt>
                <c:pt idx="13">
                  <c:v>0.20373024521083316</c:v>
                </c:pt>
                <c:pt idx="14">
                  <c:v>0.254354787838455</c:v>
                </c:pt>
              </c:numCache>
            </c:numRef>
          </c:cat>
          <c:val>
            <c:numRef>
              <c:f>'Histogram Parameters XYZZ'!$AP$3:$AP$17</c:f>
              <c:numCache>
                <c:ptCount val="15"/>
                <c:pt idx="0">
                  <c:v>0.01</c:v>
                </c:pt>
                <c:pt idx="1">
                  <c:v>0.01</c:v>
                </c:pt>
                <c:pt idx="2">
                  <c:v>0</c:v>
                </c:pt>
                <c:pt idx="3">
                  <c:v>0.01</c:v>
                </c:pt>
                <c:pt idx="4">
                  <c:v>0.02</c:v>
                </c:pt>
                <c:pt idx="5">
                  <c:v>0.04</c:v>
                </c:pt>
                <c:pt idx="6">
                  <c:v>0.02</c:v>
                </c:pt>
                <c:pt idx="7">
                  <c:v>0.04</c:v>
                </c:pt>
                <c:pt idx="8">
                  <c:v>0.09</c:v>
                </c:pt>
                <c:pt idx="9">
                  <c:v>0.27</c:v>
                </c:pt>
                <c:pt idx="10">
                  <c:v>0.17</c:v>
                </c:pt>
                <c:pt idx="11">
                  <c:v>0.11</c:v>
                </c:pt>
                <c:pt idx="12">
                  <c:v>0.05</c:v>
                </c:pt>
                <c:pt idx="13">
                  <c:v>0.1</c:v>
                </c:pt>
                <c:pt idx="14">
                  <c:v>0.06</c:v>
                </c:pt>
              </c:numCache>
            </c:numRef>
          </c:val>
        </c:ser>
        <c:gapWidth val="0"/>
        <c:axId val="36822584"/>
        <c:axId val="62967801"/>
      </c:barChart>
      <c:catAx>
        <c:axId val="36822584"/>
        <c:scaling>
          <c:orientation val="minMax"/>
        </c:scaling>
        <c:axPos val="b"/>
        <c:title>
          <c:tx>
            <c:rich>
              <a:bodyPr vert="horz" rot="0" anchor="ctr"/>
              <a:lstStyle/>
              <a:p>
                <a:pPr algn="ctr">
                  <a:defRPr/>
                </a:pPr>
                <a:r>
                  <a:rPr lang="en-US" cap="none" sz="10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2967801"/>
        <c:crosses val="autoZero"/>
        <c:auto val="1"/>
        <c:lblOffset val="100"/>
        <c:noMultiLvlLbl val="0"/>
      </c:catAx>
      <c:valAx>
        <c:axId val="62967801"/>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3682258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S&amp;P 500</a:t>
            </a:r>
          </a:p>
        </c:rich>
      </c:tx>
      <c:layout/>
      <c:spPr>
        <a:noFill/>
        <a:ln>
          <a:noFill/>
        </a:ln>
      </c:spPr>
    </c:title>
    <c:plotArea>
      <c:layout/>
      <c:barChart>
        <c:barDir val="col"/>
        <c:grouping val="clustered"/>
        <c:varyColors val="0"/>
        <c:ser>
          <c:idx val="0"/>
          <c:order val="0"/>
          <c:tx>
            <c:v>rsp500</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XYZZ'!$AR$3:$AR$17</c:f>
              <c:numCache>
                <c:ptCount val="15"/>
                <c:pt idx="0">
                  <c:v>-0.14925574066774358</c:v>
                </c:pt>
                <c:pt idx="1">
                  <c:v>-0.13259508185464242</c:v>
                </c:pt>
                <c:pt idx="2">
                  <c:v>-0.11593442304154122</c:v>
                </c:pt>
                <c:pt idx="3">
                  <c:v>-0.09927376422844003</c:v>
                </c:pt>
                <c:pt idx="4">
                  <c:v>-0.08261310541533887</c:v>
                </c:pt>
                <c:pt idx="5">
                  <c:v>-0.06595244660223769</c:v>
                </c:pt>
                <c:pt idx="6">
                  <c:v>-0.049291787789136496</c:v>
                </c:pt>
                <c:pt idx="7">
                  <c:v>-0.03263112897603532</c:v>
                </c:pt>
                <c:pt idx="8">
                  <c:v>-0.015970470162934153</c:v>
                </c:pt>
                <c:pt idx="9">
                  <c:v>0.0006901886501670396</c:v>
                </c:pt>
                <c:pt idx="10">
                  <c:v>0.017350847463268204</c:v>
                </c:pt>
                <c:pt idx="11">
                  <c:v>0.034011506276369424</c:v>
                </c:pt>
                <c:pt idx="12">
                  <c:v>0.05067216508947059</c:v>
                </c:pt>
                <c:pt idx="13">
                  <c:v>0.06733282390257178</c:v>
                </c:pt>
                <c:pt idx="14">
                  <c:v>0.08399348271567295</c:v>
                </c:pt>
              </c:numCache>
            </c:numRef>
          </c:cat>
          <c:val>
            <c:numRef>
              <c:f>'Histogram Parameters XYZZ'!$AS$3:$AS$17</c:f>
              <c:numCache>
                <c:ptCount val="15"/>
                <c:pt idx="0">
                  <c:v>0.01</c:v>
                </c:pt>
                <c:pt idx="1">
                  <c:v>0</c:v>
                </c:pt>
                <c:pt idx="2">
                  <c:v>0</c:v>
                </c:pt>
                <c:pt idx="3">
                  <c:v>0</c:v>
                </c:pt>
                <c:pt idx="4">
                  <c:v>0</c:v>
                </c:pt>
                <c:pt idx="5">
                  <c:v>0.01</c:v>
                </c:pt>
                <c:pt idx="6">
                  <c:v>0.05</c:v>
                </c:pt>
                <c:pt idx="7">
                  <c:v>0.11</c:v>
                </c:pt>
                <c:pt idx="8">
                  <c:v>0.09</c:v>
                </c:pt>
                <c:pt idx="9">
                  <c:v>0.12</c:v>
                </c:pt>
                <c:pt idx="10">
                  <c:v>0.22</c:v>
                </c:pt>
                <c:pt idx="11">
                  <c:v>0.19</c:v>
                </c:pt>
                <c:pt idx="12">
                  <c:v>0.12</c:v>
                </c:pt>
                <c:pt idx="13">
                  <c:v>0.06</c:v>
                </c:pt>
                <c:pt idx="14">
                  <c:v>0.02</c:v>
                </c:pt>
              </c:numCache>
            </c:numRef>
          </c:val>
        </c:ser>
        <c:gapWidth val="0"/>
        <c:axId val="29839298"/>
        <c:axId val="118227"/>
      </c:barChart>
      <c:catAx>
        <c:axId val="29839298"/>
        <c:scaling>
          <c:orientation val="minMax"/>
        </c:scaling>
        <c:axPos val="b"/>
        <c:title>
          <c:tx>
            <c:rich>
              <a:bodyPr vert="horz" rot="0" anchor="ctr"/>
              <a:lstStyle/>
              <a:p>
                <a:pPr algn="ctr">
                  <a:defRPr/>
                </a:pPr>
                <a:r>
                  <a:rPr lang="en-US" cap="none" sz="10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18227"/>
        <c:crosses val="autoZero"/>
        <c:auto val="1"/>
        <c:lblOffset val="100"/>
        <c:noMultiLvlLbl val="0"/>
      </c:catAx>
      <c:valAx>
        <c:axId val="118227"/>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2983929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 for T-bill</a:t>
            </a:r>
          </a:p>
        </c:rich>
      </c:tx>
      <c:layout/>
      <c:spPr>
        <a:noFill/>
        <a:ln>
          <a:noFill/>
        </a:ln>
      </c:spPr>
    </c:title>
    <c:plotArea>
      <c:layout/>
      <c:barChart>
        <c:barDir val="col"/>
        <c:grouping val="clustered"/>
        <c:varyColors val="0"/>
        <c:ser>
          <c:idx val="0"/>
          <c:order val="0"/>
          <c:tx>
            <c:v>tbill</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XYZZ'!$AU$3:$AU$17</c:f>
              <c:numCache>
                <c:ptCount val="15"/>
                <c:pt idx="0">
                  <c:v>0.002495807912550856</c:v>
                </c:pt>
                <c:pt idx="1">
                  <c:v>0.0026742638125898666</c:v>
                </c:pt>
                <c:pt idx="2">
                  <c:v>0.002852719712628877</c:v>
                </c:pt>
                <c:pt idx="3">
                  <c:v>0.0030311756126678874</c:v>
                </c:pt>
                <c:pt idx="4">
                  <c:v>0.003209631512706898</c:v>
                </c:pt>
                <c:pt idx="5">
                  <c:v>0.0033880874127459083</c:v>
                </c:pt>
                <c:pt idx="6">
                  <c:v>0.0035665433127849188</c:v>
                </c:pt>
                <c:pt idx="7">
                  <c:v>0.003744999212823929</c:v>
                </c:pt>
                <c:pt idx="8">
                  <c:v>0.00392345511286294</c:v>
                </c:pt>
                <c:pt idx="9">
                  <c:v>0.00410191101290195</c:v>
                </c:pt>
                <c:pt idx="10">
                  <c:v>0.0042803669129409605</c:v>
                </c:pt>
                <c:pt idx="11">
                  <c:v>0.004458822812979971</c:v>
                </c:pt>
                <c:pt idx="12">
                  <c:v>0.004637278713018982</c:v>
                </c:pt>
                <c:pt idx="13">
                  <c:v>0.004815734613057992</c:v>
                </c:pt>
                <c:pt idx="14">
                  <c:v>0.004994190513097003</c:v>
                </c:pt>
              </c:numCache>
            </c:numRef>
          </c:cat>
          <c:val>
            <c:numRef>
              <c:f>'Histogram Parameters XYZZ'!$AV$3:$AV$17</c:f>
              <c:numCache>
                <c:ptCount val="15"/>
                <c:pt idx="0">
                  <c:v>0.14</c:v>
                </c:pt>
                <c:pt idx="1">
                  <c:v>0.06</c:v>
                </c:pt>
                <c:pt idx="2">
                  <c:v>0.01</c:v>
                </c:pt>
                <c:pt idx="3">
                  <c:v>0.01</c:v>
                </c:pt>
                <c:pt idx="4">
                  <c:v>0</c:v>
                </c:pt>
                <c:pt idx="5">
                  <c:v>0.02</c:v>
                </c:pt>
                <c:pt idx="6">
                  <c:v>0.04</c:v>
                </c:pt>
                <c:pt idx="7">
                  <c:v>0.07</c:v>
                </c:pt>
                <c:pt idx="8">
                  <c:v>0.05</c:v>
                </c:pt>
                <c:pt idx="9">
                  <c:v>0.18</c:v>
                </c:pt>
                <c:pt idx="10">
                  <c:v>0.19</c:v>
                </c:pt>
                <c:pt idx="11">
                  <c:v>0.07</c:v>
                </c:pt>
                <c:pt idx="12">
                  <c:v>0.04</c:v>
                </c:pt>
                <c:pt idx="13">
                  <c:v>0.08</c:v>
                </c:pt>
                <c:pt idx="14">
                  <c:v>0.04</c:v>
                </c:pt>
              </c:numCache>
            </c:numRef>
          </c:val>
        </c:ser>
        <c:gapWidth val="0"/>
        <c:axId val="1064044"/>
        <c:axId val="9576397"/>
      </c:barChart>
      <c:catAx>
        <c:axId val="1064044"/>
        <c:scaling>
          <c:orientation val="minMax"/>
        </c:scaling>
        <c:axPos val="b"/>
        <c:title>
          <c:tx>
            <c:rich>
              <a:bodyPr vert="horz" rot="0" anchor="ctr"/>
              <a:lstStyle/>
              <a:p>
                <a:pPr algn="ctr">
                  <a:defRPr/>
                </a:pPr>
                <a:r>
                  <a:rPr lang="en-US" cap="none" sz="10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9576397"/>
        <c:crosses val="autoZero"/>
        <c:auto val="1"/>
        <c:lblOffset val="100"/>
        <c:noMultiLvlLbl val="0"/>
      </c:catAx>
      <c:valAx>
        <c:axId val="9576397"/>
        <c:scaling>
          <c:orientation val="minMax"/>
        </c:scaling>
        <c:axPos val="l"/>
        <c:title>
          <c:tx>
            <c:rich>
              <a:bodyPr vert="horz" rot="-5400000" anchor="ctr"/>
              <a:lstStyle/>
              <a:p>
                <a:pPr algn="ctr">
                  <a:defRPr/>
                </a:pPr>
                <a:r>
                  <a:rPr lang="en-US" cap="none" sz="1000" b="1"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crossAx val="106404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rmsft</a:t>
            </a:r>
          </a:p>
        </c:rich>
      </c:tx>
      <c:layout/>
      <c:spPr>
        <a:noFill/>
        <a:ln>
          <a:noFill/>
        </a:ln>
      </c:spPr>
    </c:title>
    <c:plotArea>
      <c:layout>
        <c:manualLayout>
          <c:xMode val="edge"/>
          <c:yMode val="edge"/>
          <c:x val="0.034"/>
          <c:y val="0.1145"/>
          <c:w val="0.93225"/>
          <c:h val="0.8855"/>
        </c:manualLayout>
      </c:layout>
      <c:barChart>
        <c:barDir val="col"/>
        <c:grouping val="clustered"/>
        <c:varyColors val="0"/>
        <c:ser>
          <c:idx val="0"/>
          <c:order val="0"/>
          <c:tx>
            <c:v>rmsft</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XYZZ'!$AX$3:$AX$17</c:f>
              <c:numCache>
                <c:ptCount val="15"/>
                <c:pt idx="0">
                  <c:v>-0.45432680704609957</c:v>
                </c:pt>
                <c:pt idx="1">
                  <c:v>-0.40357826061417656</c:v>
                </c:pt>
                <c:pt idx="2">
                  <c:v>-0.3528297141822535</c:v>
                </c:pt>
                <c:pt idx="3">
                  <c:v>-0.30208116775033056</c:v>
                </c:pt>
                <c:pt idx="4">
                  <c:v>-0.25133262131840756</c:v>
                </c:pt>
                <c:pt idx="5">
                  <c:v>-0.20058407488648455</c:v>
                </c:pt>
                <c:pt idx="6">
                  <c:v>-0.14983552845456155</c:v>
                </c:pt>
                <c:pt idx="7">
                  <c:v>-0.09908698202263855</c:v>
                </c:pt>
                <c:pt idx="8">
                  <c:v>-0.048338435590715545</c:v>
                </c:pt>
                <c:pt idx="9">
                  <c:v>0.002410110841207458</c:v>
                </c:pt>
                <c:pt idx="10">
                  <c:v>0.053158657273130405</c:v>
                </c:pt>
                <c:pt idx="11">
                  <c:v>0.10390720370505346</c:v>
                </c:pt>
                <c:pt idx="12">
                  <c:v>0.1546557501369764</c:v>
                </c:pt>
                <c:pt idx="13">
                  <c:v>0.20540429656889947</c:v>
                </c:pt>
                <c:pt idx="14">
                  <c:v>0.2561528430008224</c:v>
                </c:pt>
              </c:numCache>
            </c:numRef>
          </c:cat>
          <c:val>
            <c:numRef>
              <c:f>'Histogram Parameters XYZZ'!$AY$3:$AY$17</c:f>
              <c:numCache>
                <c:ptCount val="15"/>
                <c:pt idx="0">
                  <c:v>0</c:v>
                </c:pt>
                <c:pt idx="1">
                  <c:v>0.01</c:v>
                </c:pt>
                <c:pt idx="2">
                  <c:v>0</c:v>
                </c:pt>
                <c:pt idx="3">
                  <c:v>0</c:v>
                </c:pt>
                <c:pt idx="4">
                  <c:v>0</c:v>
                </c:pt>
                <c:pt idx="5">
                  <c:v>0.01</c:v>
                </c:pt>
                <c:pt idx="6">
                  <c:v>0.06</c:v>
                </c:pt>
                <c:pt idx="7">
                  <c:v>0.06</c:v>
                </c:pt>
                <c:pt idx="8">
                  <c:v>0.14</c:v>
                </c:pt>
                <c:pt idx="9">
                  <c:v>0.25</c:v>
                </c:pt>
                <c:pt idx="10">
                  <c:v>0.17</c:v>
                </c:pt>
                <c:pt idx="11">
                  <c:v>0.15</c:v>
                </c:pt>
                <c:pt idx="12">
                  <c:v>0.09</c:v>
                </c:pt>
                <c:pt idx="13">
                  <c:v>0.01</c:v>
                </c:pt>
                <c:pt idx="14">
                  <c:v>0.05</c:v>
                </c:pt>
              </c:numCache>
            </c:numRef>
          </c:val>
        </c:ser>
        <c:gapWidth val="0"/>
        <c:axId val="19078710"/>
        <c:axId val="37490663"/>
      </c:barChart>
      <c:catAx>
        <c:axId val="19078710"/>
        <c:scaling>
          <c:orientation val="minMax"/>
        </c:scaling>
        <c:axPos val="b"/>
        <c:delete val="0"/>
        <c:numFmt formatCode="General" sourceLinked="1"/>
        <c:majorTickMark val="out"/>
        <c:minorTickMark val="none"/>
        <c:tickLblPos val="none"/>
        <c:txPr>
          <a:bodyPr vert="horz" rot="-5400000"/>
          <a:lstStyle/>
          <a:p>
            <a:pPr>
              <a:defRPr lang="en-US" cap="none" sz="400" b="0" i="0" u="none" baseline="0">
                <a:latin typeface="Arial"/>
                <a:ea typeface="Arial"/>
                <a:cs typeface="Arial"/>
              </a:defRPr>
            </a:pPr>
          </a:p>
        </c:txPr>
        <c:crossAx val="37490663"/>
        <c:crosses val="autoZero"/>
        <c:auto val="1"/>
        <c:lblOffset val="100"/>
        <c:noMultiLvlLbl val="0"/>
      </c:catAx>
      <c:valAx>
        <c:axId val="37490663"/>
        <c:scaling>
          <c:orientation val="minMax"/>
          <c:max val="1"/>
          <c:min val="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78710"/>
        <c:crossesAt val="1"/>
        <c:crossBetween val="between"/>
        <c:dispUnits/>
        <c:majorUnit val="0.2"/>
      </c:valAx>
      <c:spPr>
        <a:noFill/>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rsbux</a:t>
            </a:r>
          </a:p>
        </c:rich>
      </c:tx>
      <c:layout/>
      <c:spPr>
        <a:noFill/>
        <a:ln>
          <a:noFill/>
        </a:ln>
      </c:spPr>
    </c:title>
    <c:plotArea>
      <c:layout>
        <c:manualLayout>
          <c:xMode val="edge"/>
          <c:yMode val="edge"/>
          <c:x val="0.034"/>
          <c:y val="0.1145"/>
          <c:w val="0.93225"/>
          <c:h val="0.8855"/>
        </c:manualLayout>
      </c:layout>
      <c:barChart>
        <c:barDir val="col"/>
        <c:grouping val="clustered"/>
        <c:varyColors val="0"/>
        <c:ser>
          <c:idx val="0"/>
          <c:order val="0"/>
          <c:tx>
            <c:v>rsbux</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XYZZ'!$BA$3:$BA$17</c:f>
              <c:numCache>
                <c:ptCount val="15"/>
                <c:pt idx="0">
                  <c:v>-0.45432680704609957</c:v>
                </c:pt>
                <c:pt idx="1">
                  <c:v>-0.40357826061417656</c:v>
                </c:pt>
                <c:pt idx="2">
                  <c:v>-0.3528297141822535</c:v>
                </c:pt>
                <c:pt idx="3">
                  <c:v>-0.30208116775033056</c:v>
                </c:pt>
                <c:pt idx="4">
                  <c:v>-0.25133262131840756</c:v>
                </c:pt>
                <c:pt idx="5">
                  <c:v>-0.20058407488648455</c:v>
                </c:pt>
                <c:pt idx="6">
                  <c:v>-0.14983552845456155</c:v>
                </c:pt>
                <c:pt idx="7">
                  <c:v>-0.09908698202263855</c:v>
                </c:pt>
                <c:pt idx="8">
                  <c:v>-0.048338435590715545</c:v>
                </c:pt>
                <c:pt idx="9">
                  <c:v>0.002410110841207458</c:v>
                </c:pt>
                <c:pt idx="10">
                  <c:v>0.053158657273130405</c:v>
                </c:pt>
                <c:pt idx="11">
                  <c:v>0.10390720370505346</c:v>
                </c:pt>
                <c:pt idx="12">
                  <c:v>0.1546557501369764</c:v>
                </c:pt>
                <c:pt idx="13">
                  <c:v>0.20540429656889947</c:v>
                </c:pt>
                <c:pt idx="14">
                  <c:v>0.2561528430008224</c:v>
                </c:pt>
              </c:numCache>
            </c:numRef>
          </c:cat>
          <c:val>
            <c:numRef>
              <c:f>'Histogram Parameters XYZZ'!$BB$3:$BB$17</c:f>
              <c:numCache>
                <c:ptCount val="15"/>
                <c:pt idx="0">
                  <c:v>0.01</c:v>
                </c:pt>
                <c:pt idx="1">
                  <c:v>0.01</c:v>
                </c:pt>
                <c:pt idx="2">
                  <c:v>0</c:v>
                </c:pt>
                <c:pt idx="3">
                  <c:v>0.01</c:v>
                </c:pt>
                <c:pt idx="4">
                  <c:v>0.03</c:v>
                </c:pt>
                <c:pt idx="5">
                  <c:v>0.03</c:v>
                </c:pt>
                <c:pt idx="6">
                  <c:v>0.02</c:v>
                </c:pt>
                <c:pt idx="7">
                  <c:v>0.04</c:v>
                </c:pt>
                <c:pt idx="8">
                  <c:v>0.12</c:v>
                </c:pt>
                <c:pt idx="9">
                  <c:v>0.24</c:v>
                </c:pt>
                <c:pt idx="10">
                  <c:v>0.17</c:v>
                </c:pt>
                <c:pt idx="11">
                  <c:v>0.11</c:v>
                </c:pt>
                <c:pt idx="12">
                  <c:v>0.07</c:v>
                </c:pt>
                <c:pt idx="13">
                  <c:v>0.08</c:v>
                </c:pt>
                <c:pt idx="14">
                  <c:v>0.06</c:v>
                </c:pt>
              </c:numCache>
            </c:numRef>
          </c:val>
        </c:ser>
        <c:gapWidth val="0"/>
        <c:axId val="1871648"/>
        <c:axId val="16844833"/>
      </c:barChart>
      <c:catAx>
        <c:axId val="1871648"/>
        <c:scaling>
          <c:orientation val="minMax"/>
        </c:scaling>
        <c:axPos val="b"/>
        <c:delete val="0"/>
        <c:numFmt formatCode="General" sourceLinked="1"/>
        <c:majorTickMark val="out"/>
        <c:minorTickMark val="none"/>
        <c:tickLblPos val="none"/>
        <c:txPr>
          <a:bodyPr vert="horz" rot="-5400000"/>
          <a:lstStyle/>
          <a:p>
            <a:pPr>
              <a:defRPr lang="en-US" cap="none" sz="400" b="0" i="0" u="none" baseline="0">
                <a:latin typeface="Arial"/>
                <a:ea typeface="Arial"/>
                <a:cs typeface="Arial"/>
              </a:defRPr>
            </a:pPr>
          </a:p>
        </c:txPr>
        <c:crossAx val="16844833"/>
        <c:crosses val="autoZero"/>
        <c:auto val="1"/>
        <c:lblOffset val="100"/>
        <c:noMultiLvlLbl val="0"/>
      </c:catAx>
      <c:valAx>
        <c:axId val="16844833"/>
        <c:scaling>
          <c:orientation val="minMax"/>
          <c:max val="1"/>
          <c:min val="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71648"/>
        <c:crossesAt val="1"/>
        <c:crossBetween val="between"/>
        <c:dispUnits/>
        <c:majorUnit val="0.2"/>
      </c:valAx>
      <c:spPr>
        <a:noFill/>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rsp500</a:t>
            </a:r>
          </a:p>
        </c:rich>
      </c:tx>
      <c:layout/>
      <c:spPr>
        <a:noFill/>
        <a:ln>
          <a:noFill/>
        </a:ln>
      </c:spPr>
    </c:title>
    <c:plotArea>
      <c:layout>
        <c:manualLayout>
          <c:xMode val="edge"/>
          <c:yMode val="edge"/>
          <c:x val="0.034"/>
          <c:y val="0.11325"/>
          <c:w val="0.93225"/>
          <c:h val="0.88675"/>
        </c:manualLayout>
      </c:layout>
      <c:barChart>
        <c:barDir val="col"/>
        <c:grouping val="clustered"/>
        <c:varyColors val="0"/>
        <c:ser>
          <c:idx val="0"/>
          <c:order val="0"/>
          <c:tx>
            <c:v>rsp500</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XYZZ'!$BD$3:$BD$17</c:f>
              <c:numCache>
                <c:ptCount val="15"/>
                <c:pt idx="0">
                  <c:v>-0.45432680704609957</c:v>
                </c:pt>
                <c:pt idx="1">
                  <c:v>-0.40357826061417656</c:v>
                </c:pt>
                <c:pt idx="2">
                  <c:v>-0.3528297141822535</c:v>
                </c:pt>
                <c:pt idx="3">
                  <c:v>-0.30208116775033056</c:v>
                </c:pt>
                <c:pt idx="4">
                  <c:v>-0.25133262131840756</c:v>
                </c:pt>
                <c:pt idx="5">
                  <c:v>-0.20058407488648455</c:v>
                </c:pt>
                <c:pt idx="6">
                  <c:v>-0.14983552845456155</c:v>
                </c:pt>
                <c:pt idx="7">
                  <c:v>-0.09908698202263855</c:v>
                </c:pt>
                <c:pt idx="8">
                  <c:v>-0.048338435590715545</c:v>
                </c:pt>
                <c:pt idx="9">
                  <c:v>0.002410110841207458</c:v>
                </c:pt>
                <c:pt idx="10">
                  <c:v>0.053158657273130405</c:v>
                </c:pt>
                <c:pt idx="11">
                  <c:v>0.10390720370505346</c:v>
                </c:pt>
                <c:pt idx="12">
                  <c:v>0.1546557501369764</c:v>
                </c:pt>
                <c:pt idx="13">
                  <c:v>0.20540429656889947</c:v>
                </c:pt>
                <c:pt idx="14">
                  <c:v>0.2561528430008224</c:v>
                </c:pt>
              </c:numCache>
            </c:numRef>
          </c:cat>
          <c:val>
            <c:numRef>
              <c:f>'Histogram Parameters XYZZ'!$BE$3:$BE$17</c:f>
              <c:numCache>
                <c:ptCount val="15"/>
                <c:pt idx="0">
                  <c:v>0</c:v>
                </c:pt>
                <c:pt idx="1">
                  <c:v>0</c:v>
                </c:pt>
                <c:pt idx="2">
                  <c:v>0</c:v>
                </c:pt>
                <c:pt idx="3">
                  <c:v>0</c:v>
                </c:pt>
                <c:pt idx="4">
                  <c:v>0</c:v>
                </c:pt>
                <c:pt idx="5">
                  <c:v>0</c:v>
                </c:pt>
                <c:pt idx="6">
                  <c:v>0.01</c:v>
                </c:pt>
                <c:pt idx="7">
                  <c:v>0</c:v>
                </c:pt>
                <c:pt idx="8">
                  <c:v>0.18</c:v>
                </c:pt>
                <c:pt idx="9">
                  <c:v>0.45</c:v>
                </c:pt>
                <c:pt idx="10">
                  <c:v>0.35</c:v>
                </c:pt>
                <c:pt idx="11">
                  <c:v>0.01</c:v>
                </c:pt>
                <c:pt idx="12">
                  <c:v>0</c:v>
                </c:pt>
                <c:pt idx="13">
                  <c:v>0</c:v>
                </c:pt>
                <c:pt idx="14">
                  <c:v>0</c:v>
                </c:pt>
              </c:numCache>
            </c:numRef>
          </c:val>
        </c:ser>
        <c:gapWidth val="0"/>
        <c:axId val="17385770"/>
        <c:axId val="22254203"/>
      </c:barChart>
      <c:catAx>
        <c:axId val="17385770"/>
        <c:scaling>
          <c:orientation val="minMax"/>
        </c:scaling>
        <c:axPos val="b"/>
        <c:delete val="0"/>
        <c:numFmt formatCode="General" sourceLinked="1"/>
        <c:majorTickMark val="out"/>
        <c:minorTickMark val="none"/>
        <c:tickLblPos val="none"/>
        <c:txPr>
          <a:bodyPr vert="horz" rot="-5400000"/>
          <a:lstStyle/>
          <a:p>
            <a:pPr>
              <a:defRPr lang="en-US" cap="none" sz="400" b="0" i="0" u="none" baseline="0">
                <a:latin typeface="Arial"/>
                <a:ea typeface="Arial"/>
                <a:cs typeface="Arial"/>
              </a:defRPr>
            </a:pPr>
          </a:p>
        </c:txPr>
        <c:crossAx val="22254203"/>
        <c:crosses val="autoZero"/>
        <c:auto val="1"/>
        <c:lblOffset val="100"/>
        <c:noMultiLvlLbl val="0"/>
      </c:catAx>
      <c:valAx>
        <c:axId val="22254203"/>
        <c:scaling>
          <c:orientation val="minMax"/>
          <c:max val="1"/>
          <c:min val="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385770"/>
        <c:crossesAt val="1"/>
        <c:crossBetween val="between"/>
        <c:dispUnits/>
        <c:majorUnit val="0.2"/>
      </c:valAx>
      <c:spPr>
        <a:noFill/>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Boxplots for MSFT, SBUX and SP500</a:t>
            </a:r>
          </a:p>
        </c:rich>
      </c:tx>
      <c:layout/>
      <c:spPr>
        <a:noFill/>
        <a:ln>
          <a:noFill/>
        </a:ln>
      </c:spPr>
    </c:title>
    <c:plotArea>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 Parameters XYZZ'!$S$2:$S$43</c:f>
              <c:numCache>
                <c:ptCount val="42"/>
                <c:pt idx="0">
                  <c:v>0.2</c:v>
                </c:pt>
                <c:pt idx="1">
                  <c:v>0.2</c:v>
                </c:pt>
                <c:pt idx="2">
                  <c:v>0.5</c:v>
                </c:pt>
                <c:pt idx="3">
                  <c:v>0.5</c:v>
                </c:pt>
                <c:pt idx="4">
                  <c:v>0.5</c:v>
                </c:pt>
                <c:pt idx="5">
                  <c:v>0.8</c:v>
                </c:pt>
                <c:pt idx="6">
                  <c:v>0.8</c:v>
                </c:pt>
                <c:pt idx="7">
                  <c:v>0.5</c:v>
                </c:pt>
                <c:pt idx="8">
                  <c:v>0.5</c:v>
                </c:pt>
                <c:pt idx="9">
                  <c:v>0.5</c:v>
                </c:pt>
                <c:pt idx="10">
                  <c:v>0.2</c:v>
                </c:pt>
                <c:pt idx="11">
                  <c:v>0.2</c:v>
                </c:pt>
                <c:pt idx="12">
                  <c:v>0.8</c:v>
                </c:pt>
                <c:pt idx="14">
                  <c:v>1.2</c:v>
                </c:pt>
                <c:pt idx="15">
                  <c:v>1.2</c:v>
                </c:pt>
                <c:pt idx="16">
                  <c:v>1.5</c:v>
                </c:pt>
                <c:pt idx="17">
                  <c:v>1.5</c:v>
                </c:pt>
                <c:pt idx="18">
                  <c:v>1.5</c:v>
                </c:pt>
                <c:pt idx="19">
                  <c:v>1.8</c:v>
                </c:pt>
                <c:pt idx="20">
                  <c:v>1.8</c:v>
                </c:pt>
                <c:pt idx="21">
                  <c:v>1.5</c:v>
                </c:pt>
                <c:pt idx="22">
                  <c:v>1.5</c:v>
                </c:pt>
                <c:pt idx="23">
                  <c:v>1.5</c:v>
                </c:pt>
                <c:pt idx="24">
                  <c:v>1.2</c:v>
                </c:pt>
                <c:pt idx="25">
                  <c:v>1.2</c:v>
                </c:pt>
                <c:pt idx="26">
                  <c:v>1.8</c:v>
                </c:pt>
                <c:pt idx="28">
                  <c:v>2.2</c:v>
                </c:pt>
                <c:pt idx="29">
                  <c:v>2.2</c:v>
                </c:pt>
                <c:pt idx="30">
                  <c:v>2.5</c:v>
                </c:pt>
                <c:pt idx="31">
                  <c:v>2.5</c:v>
                </c:pt>
                <c:pt idx="32">
                  <c:v>2.5</c:v>
                </c:pt>
                <c:pt idx="33">
                  <c:v>2.8</c:v>
                </c:pt>
                <c:pt idx="34">
                  <c:v>2.8</c:v>
                </c:pt>
                <c:pt idx="35">
                  <c:v>2.5</c:v>
                </c:pt>
                <c:pt idx="36">
                  <c:v>2.5</c:v>
                </c:pt>
                <c:pt idx="37">
                  <c:v>2.5</c:v>
                </c:pt>
                <c:pt idx="38">
                  <c:v>2.2</c:v>
                </c:pt>
                <c:pt idx="39">
                  <c:v>2.2</c:v>
                </c:pt>
                <c:pt idx="40">
                  <c:v>2.8</c:v>
                </c:pt>
              </c:numCache>
            </c:numRef>
          </c:xVal>
          <c:yVal>
            <c:numRef>
              <c:f>'Boxplot Parameters XYZZ'!$T$2:$T$43</c:f>
              <c:numCache>
                <c:ptCount val="42"/>
                <c:pt idx="0">
                  <c:v>0.02185133287980774</c:v>
                </c:pt>
                <c:pt idx="1">
                  <c:v>-0.029734837553771723</c:v>
                </c:pt>
                <c:pt idx="2">
                  <c:v>-0.029734837553771723</c:v>
                </c:pt>
                <c:pt idx="3">
                  <c:v>-0.17634374223803953</c:v>
                </c:pt>
                <c:pt idx="4">
                  <c:v>-0.029734837553771723</c:v>
                </c:pt>
                <c:pt idx="5">
                  <c:v>-0.029734837553771723</c:v>
                </c:pt>
                <c:pt idx="6">
                  <c:v>0.09463591754195913</c:v>
                </c:pt>
                <c:pt idx="7">
                  <c:v>0.09463591754195913</c:v>
                </c:pt>
                <c:pt idx="8">
                  <c:v>0.2486601381818082</c:v>
                </c:pt>
                <c:pt idx="9">
                  <c:v>0.09463591754195913</c:v>
                </c:pt>
                <c:pt idx="10">
                  <c:v>0.09463591754195913</c:v>
                </c:pt>
                <c:pt idx="11">
                  <c:v>0.02185133287980774</c:v>
                </c:pt>
                <c:pt idx="12">
                  <c:v>0.02185133287980774</c:v>
                </c:pt>
                <c:pt idx="14">
                  <c:v>0.02307781224890826</c:v>
                </c:pt>
                <c:pt idx="15">
                  <c:v>-0.02334511303298386</c:v>
                </c:pt>
                <c:pt idx="16">
                  <c:v>-0.02334511303298386</c:v>
                </c:pt>
                <c:pt idx="17">
                  <c:v>-0.20288987184446508</c:v>
                </c:pt>
                <c:pt idx="18">
                  <c:v>-0.02334511303298386</c:v>
                </c:pt>
                <c:pt idx="19">
                  <c:v>-0.02334511303298386</c:v>
                </c:pt>
                <c:pt idx="20">
                  <c:v>0.10779847679260922</c:v>
                </c:pt>
                <c:pt idx="21">
                  <c:v>0.10779847679260922</c:v>
                </c:pt>
                <c:pt idx="22">
                  <c:v>0.27966705915226586</c:v>
                </c:pt>
                <c:pt idx="23">
                  <c:v>0.10779847679260922</c:v>
                </c:pt>
                <c:pt idx="24">
                  <c:v>0.10779847679260922</c:v>
                </c:pt>
                <c:pt idx="25">
                  <c:v>0.02307781224890826</c:v>
                </c:pt>
                <c:pt idx="26">
                  <c:v>0.02307781224890826</c:v>
                </c:pt>
                <c:pt idx="28">
                  <c:v>0.01645132532477981</c:v>
                </c:pt>
                <c:pt idx="29">
                  <c:v>-0.012011220800430523</c:v>
                </c:pt>
                <c:pt idx="30">
                  <c:v>-0.012011220800430523</c:v>
                </c:pt>
                <c:pt idx="31">
                  <c:v>-0.05918286528109512</c:v>
                </c:pt>
                <c:pt idx="32">
                  <c:v>-0.012011220800430523</c:v>
                </c:pt>
                <c:pt idx="33">
                  <c:v>-0.012011220800430523</c:v>
                </c:pt>
                <c:pt idx="34">
                  <c:v>0.03820004113480118</c:v>
                </c:pt>
                <c:pt idx="35">
                  <c:v>0.03820004113480118</c:v>
                </c:pt>
                <c:pt idx="36">
                  <c:v>0.09232381212222356</c:v>
                </c:pt>
                <c:pt idx="37">
                  <c:v>0.03820004113480118</c:v>
                </c:pt>
                <c:pt idx="38">
                  <c:v>0.03820004113480118</c:v>
                </c:pt>
                <c:pt idx="39">
                  <c:v>0.01645132532477981</c:v>
                </c:pt>
                <c:pt idx="40">
                  <c:v>0.01645132532477981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'Boxplot Parameters XYZZ'!$O$2:$O$301</c:f>
              <c:numCach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1.5</c:v>
                </c:pt>
                <c:pt idx="126">
                  <c:v>1.5</c:v>
                </c:pt>
                <c:pt idx="127">
                  <c:v>1.5</c:v>
                </c:pt>
                <c:pt idx="128">
                  <c:v>1.5</c:v>
                </c:pt>
                <c:pt idx="129">
                  <c:v>1.5</c:v>
                </c:pt>
                <c:pt idx="130">
                  <c:v>1.5</c:v>
                </c:pt>
                <c:pt idx="131">
                  <c:v>1.5</c:v>
                </c:pt>
                <c:pt idx="132">
                  <c:v>1.5</c:v>
                </c:pt>
                <c:pt idx="133">
                  <c:v>1.5</c:v>
                </c:pt>
                <c:pt idx="134">
                  <c:v>1.5</c:v>
                </c:pt>
                <c:pt idx="135">
                  <c:v>1.5</c:v>
                </c:pt>
                <c:pt idx="136">
                  <c:v>1.5</c:v>
                </c:pt>
                <c:pt idx="137">
                  <c:v>1.5</c:v>
                </c:pt>
                <c:pt idx="138">
                  <c:v>1.5</c:v>
                </c:pt>
                <c:pt idx="139">
                  <c:v>1.5</c:v>
                </c:pt>
                <c:pt idx="140">
                  <c:v>1.5</c:v>
                </c:pt>
                <c:pt idx="141">
                  <c:v>1.5</c:v>
                </c:pt>
                <c:pt idx="142">
                  <c:v>1.5</c:v>
                </c:pt>
                <c:pt idx="143">
                  <c:v>1.5</c:v>
                </c:pt>
                <c:pt idx="144">
                  <c:v>1.5</c:v>
                </c:pt>
                <c:pt idx="145">
                  <c:v>1.5</c:v>
                </c:pt>
                <c:pt idx="146">
                  <c:v>1.5</c:v>
                </c:pt>
                <c:pt idx="147">
                  <c:v>1.5</c:v>
                </c:pt>
                <c:pt idx="148">
                  <c:v>1.5</c:v>
                </c:pt>
                <c:pt idx="149">
                  <c:v>1.5</c:v>
                </c:pt>
                <c:pt idx="150">
                  <c:v>1.5</c:v>
                </c:pt>
                <c:pt idx="151">
                  <c:v>1.5</c:v>
                </c:pt>
                <c:pt idx="152">
                  <c:v>1.5</c:v>
                </c:pt>
                <c:pt idx="153">
                  <c:v>1.5</c:v>
                </c:pt>
                <c:pt idx="154">
                  <c:v>1.5</c:v>
                </c:pt>
                <c:pt idx="155">
                  <c:v>1.5</c:v>
                </c:pt>
                <c:pt idx="156">
                  <c:v>1.5</c:v>
                </c:pt>
                <c:pt idx="157">
                  <c:v>1.5</c:v>
                </c:pt>
                <c:pt idx="158">
                  <c:v>1.5</c:v>
                </c:pt>
                <c:pt idx="159">
                  <c:v>1.5</c:v>
                </c:pt>
                <c:pt idx="160">
                  <c:v>1.5</c:v>
                </c:pt>
                <c:pt idx="161">
                  <c:v>1.5</c:v>
                </c:pt>
                <c:pt idx="162">
                  <c:v>1.5</c:v>
                </c:pt>
                <c:pt idx="163">
                  <c:v>1.5</c:v>
                </c:pt>
                <c:pt idx="164">
                  <c:v>1.5</c:v>
                </c:pt>
                <c:pt idx="165">
                  <c:v>1.5</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1.5</c:v>
                </c:pt>
                <c:pt idx="193">
                  <c:v>1.5</c:v>
                </c:pt>
                <c:pt idx="194">
                  <c:v>1.5</c:v>
                </c:pt>
                <c:pt idx="195">
                  <c:v>1.5</c:v>
                </c:pt>
                <c:pt idx="196">
                  <c:v>1.5</c:v>
                </c:pt>
                <c:pt idx="197">
                  <c:v>1.5</c:v>
                </c:pt>
                <c:pt idx="198">
                  <c:v>1.5</c:v>
                </c:pt>
                <c:pt idx="199">
                  <c:v>1.5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pt idx="232">
                  <c:v>2.5</c:v>
                </c:pt>
                <c:pt idx="233">
                  <c:v>2.5</c:v>
                </c:pt>
                <c:pt idx="234">
                  <c:v>2.5</c:v>
                </c:pt>
                <c:pt idx="235">
                  <c:v>2.5</c:v>
                </c:pt>
                <c:pt idx="236">
                  <c:v>2.5</c:v>
                </c:pt>
                <c:pt idx="237">
                  <c:v>2.5</c:v>
                </c:pt>
                <c:pt idx="238">
                  <c:v>2.5</c:v>
                </c:pt>
                <c:pt idx="239">
                  <c:v>2.5</c:v>
                </c:pt>
                <c:pt idx="240">
                  <c:v>2.5</c:v>
                </c:pt>
                <c:pt idx="241">
                  <c:v>2.5</c:v>
                </c:pt>
                <c:pt idx="242">
                  <c:v>2.5</c:v>
                </c:pt>
                <c:pt idx="243">
                  <c:v>2.5</c:v>
                </c:pt>
                <c:pt idx="244">
                  <c:v>2.5</c:v>
                </c:pt>
                <c:pt idx="245">
                  <c:v>2.5</c:v>
                </c:pt>
                <c:pt idx="246">
                  <c:v>2.5</c:v>
                </c:pt>
                <c:pt idx="247">
                  <c:v>2.5</c:v>
                </c:pt>
                <c:pt idx="248">
                  <c:v>2.5</c:v>
                </c:pt>
                <c:pt idx="249">
                  <c:v>2.5</c:v>
                </c:pt>
                <c:pt idx="250">
                  <c:v>2.5</c:v>
                </c:pt>
                <c:pt idx="251">
                  <c:v>2.5</c:v>
                </c:pt>
                <c:pt idx="252">
                  <c:v>2.5</c:v>
                </c:pt>
                <c:pt idx="253">
                  <c:v>2.5</c:v>
                </c:pt>
                <c:pt idx="254">
                  <c:v>2.5</c:v>
                </c:pt>
                <c:pt idx="255">
                  <c:v>2.5</c:v>
                </c:pt>
                <c:pt idx="256">
                  <c:v>2.5</c:v>
                </c:pt>
                <c:pt idx="257">
                  <c:v>2.5</c:v>
                </c:pt>
                <c:pt idx="258">
                  <c:v>2.5</c:v>
                </c:pt>
                <c:pt idx="259">
                  <c:v>2.5</c:v>
                </c:pt>
                <c:pt idx="260">
                  <c:v>2.5</c:v>
                </c:pt>
                <c:pt idx="261">
                  <c:v>2.5</c:v>
                </c:pt>
                <c:pt idx="262">
                  <c:v>2.5</c:v>
                </c:pt>
                <c:pt idx="263">
                  <c:v>2.5</c:v>
                </c:pt>
                <c:pt idx="264">
                  <c:v>2.5</c:v>
                </c:pt>
                <c:pt idx="265">
                  <c:v>2.5</c:v>
                </c:pt>
                <c:pt idx="266">
                  <c:v>2.5</c:v>
                </c:pt>
                <c:pt idx="267">
                  <c:v>2.5</c:v>
                </c:pt>
                <c:pt idx="268">
                  <c:v>2.5</c:v>
                </c:pt>
                <c:pt idx="269">
                  <c:v>2.5</c:v>
                </c:pt>
                <c:pt idx="270">
                  <c:v>2.5</c:v>
                </c:pt>
                <c:pt idx="271">
                  <c:v>2.5</c:v>
                </c:pt>
                <c:pt idx="272">
                  <c:v>2.5</c:v>
                </c:pt>
                <c:pt idx="273">
                  <c:v>2.5</c:v>
                </c:pt>
                <c:pt idx="274">
                  <c:v>2.5</c:v>
                </c:pt>
                <c:pt idx="275">
                  <c:v>2.5</c:v>
                </c:pt>
                <c:pt idx="276">
                  <c:v>2.5</c:v>
                </c:pt>
                <c:pt idx="277">
                  <c:v>2.5</c:v>
                </c:pt>
                <c:pt idx="278">
                  <c:v>2.5</c:v>
                </c:pt>
                <c:pt idx="279">
                  <c:v>2.5</c:v>
                </c:pt>
                <c:pt idx="280">
                  <c:v>2.5</c:v>
                </c:pt>
                <c:pt idx="281">
                  <c:v>2.5</c:v>
                </c:pt>
                <c:pt idx="282">
                  <c:v>2.5</c:v>
                </c:pt>
                <c:pt idx="283">
                  <c:v>2.5</c:v>
                </c:pt>
                <c:pt idx="284">
                  <c:v>2.5</c:v>
                </c:pt>
                <c:pt idx="285">
                  <c:v>2.5</c:v>
                </c:pt>
                <c:pt idx="286">
                  <c:v>2.5</c:v>
                </c:pt>
                <c:pt idx="287">
                  <c:v>2.5</c:v>
                </c:pt>
                <c:pt idx="288">
                  <c:v>2.5</c:v>
                </c:pt>
                <c:pt idx="289">
                  <c:v>2.5</c:v>
                </c:pt>
                <c:pt idx="290">
                  <c:v>2.5</c:v>
                </c:pt>
                <c:pt idx="291">
                  <c:v>2.5</c:v>
                </c:pt>
                <c:pt idx="292">
                  <c:v>2.5</c:v>
                </c:pt>
                <c:pt idx="293">
                  <c:v>2.5</c:v>
                </c:pt>
                <c:pt idx="294">
                  <c:v>2.5</c:v>
                </c:pt>
                <c:pt idx="295">
                  <c:v>2.5</c:v>
                </c:pt>
                <c:pt idx="296">
                  <c:v>2.5</c:v>
                </c:pt>
                <c:pt idx="297">
                  <c:v>2.5</c:v>
                </c:pt>
                <c:pt idx="298">
                  <c:v>2.5</c:v>
                </c:pt>
                <c:pt idx="299">
                  <c:v>2.5</c:v>
                </c:pt>
              </c:numCache>
            </c:numRef>
          </c:xVal>
          <c:yVal>
            <c:numRef>
              <c:f>'Boxplot Parameters XYZZ'!$P$2:$P$301</c:f>
              <c:numCache>
                <c:ptCount val="3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-0.42087738710305117</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-0.47970108026206104</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'Boxplot Parameters XYZZ'!$O$2:$O$301</c:f>
              <c:numCache>
                <c:ptCount val="30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1.5</c:v>
                </c:pt>
                <c:pt idx="126">
                  <c:v>1.5</c:v>
                </c:pt>
                <c:pt idx="127">
                  <c:v>1.5</c:v>
                </c:pt>
                <c:pt idx="128">
                  <c:v>1.5</c:v>
                </c:pt>
                <c:pt idx="129">
                  <c:v>1.5</c:v>
                </c:pt>
                <c:pt idx="130">
                  <c:v>1.5</c:v>
                </c:pt>
                <c:pt idx="131">
                  <c:v>1.5</c:v>
                </c:pt>
                <c:pt idx="132">
                  <c:v>1.5</c:v>
                </c:pt>
                <c:pt idx="133">
                  <c:v>1.5</c:v>
                </c:pt>
                <c:pt idx="134">
                  <c:v>1.5</c:v>
                </c:pt>
                <c:pt idx="135">
                  <c:v>1.5</c:v>
                </c:pt>
                <c:pt idx="136">
                  <c:v>1.5</c:v>
                </c:pt>
                <c:pt idx="137">
                  <c:v>1.5</c:v>
                </c:pt>
                <c:pt idx="138">
                  <c:v>1.5</c:v>
                </c:pt>
                <c:pt idx="139">
                  <c:v>1.5</c:v>
                </c:pt>
                <c:pt idx="140">
                  <c:v>1.5</c:v>
                </c:pt>
                <c:pt idx="141">
                  <c:v>1.5</c:v>
                </c:pt>
                <c:pt idx="142">
                  <c:v>1.5</c:v>
                </c:pt>
                <c:pt idx="143">
                  <c:v>1.5</c:v>
                </c:pt>
                <c:pt idx="144">
                  <c:v>1.5</c:v>
                </c:pt>
                <c:pt idx="145">
                  <c:v>1.5</c:v>
                </c:pt>
                <c:pt idx="146">
                  <c:v>1.5</c:v>
                </c:pt>
                <c:pt idx="147">
                  <c:v>1.5</c:v>
                </c:pt>
                <c:pt idx="148">
                  <c:v>1.5</c:v>
                </c:pt>
                <c:pt idx="149">
                  <c:v>1.5</c:v>
                </c:pt>
                <c:pt idx="150">
                  <c:v>1.5</c:v>
                </c:pt>
                <c:pt idx="151">
                  <c:v>1.5</c:v>
                </c:pt>
                <c:pt idx="152">
                  <c:v>1.5</c:v>
                </c:pt>
                <c:pt idx="153">
                  <c:v>1.5</c:v>
                </c:pt>
                <c:pt idx="154">
                  <c:v>1.5</c:v>
                </c:pt>
                <c:pt idx="155">
                  <c:v>1.5</c:v>
                </c:pt>
                <c:pt idx="156">
                  <c:v>1.5</c:v>
                </c:pt>
                <c:pt idx="157">
                  <c:v>1.5</c:v>
                </c:pt>
                <c:pt idx="158">
                  <c:v>1.5</c:v>
                </c:pt>
                <c:pt idx="159">
                  <c:v>1.5</c:v>
                </c:pt>
                <c:pt idx="160">
                  <c:v>1.5</c:v>
                </c:pt>
                <c:pt idx="161">
                  <c:v>1.5</c:v>
                </c:pt>
                <c:pt idx="162">
                  <c:v>1.5</c:v>
                </c:pt>
                <c:pt idx="163">
                  <c:v>1.5</c:v>
                </c:pt>
                <c:pt idx="164">
                  <c:v>1.5</c:v>
                </c:pt>
                <c:pt idx="165">
                  <c:v>1.5</c:v>
                </c:pt>
                <c:pt idx="166">
                  <c:v>1.5</c:v>
                </c:pt>
                <c:pt idx="167">
                  <c:v>1.5</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1.5</c:v>
                </c:pt>
                <c:pt idx="193">
                  <c:v>1.5</c:v>
                </c:pt>
                <c:pt idx="194">
                  <c:v>1.5</c:v>
                </c:pt>
                <c:pt idx="195">
                  <c:v>1.5</c:v>
                </c:pt>
                <c:pt idx="196">
                  <c:v>1.5</c:v>
                </c:pt>
                <c:pt idx="197">
                  <c:v>1.5</c:v>
                </c:pt>
                <c:pt idx="198">
                  <c:v>1.5</c:v>
                </c:pt>
                <c:pt idx="199">
                  <c:v>1.5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pt idx="215">
                  <c:v>2.5</c:v>
                </c:pt>
                <c:pt idx="216">
                  <c:v>2.5</c:v>
                </c:pt>
                <c:pt idx="217">
                  <c:v>2.5</c:v>
                </c:pt>
                <c:pt idx="218">
                  <c:v>2.5</c:v>
                </c:pt>
                <c:pt idx="219">
                  <c:v>2.5</c:v>
                </c:pt>
                <c:pt idx="220">
                  <c:v>2.5</c:v>
                </c:pt>
                <c:pt idx="221">
                  <c:v>2.5</c:v>
                </c:pt>
                <c:pt idx="222">
                  <c:v>2.5</c:v>
                </c:pt>
                <c:pt idx="223">
                  <c:v>2.5</c:v>
                </c:pt>
                <c:pt idx="224">
                  <c:v>2.5</c:v>
                </c:pt>
                <c:pt idx="225">
                  <c:v>2.5</c:v>
                </c:pt>
                <c:pt idx="226">
                  <c:v>2.5</c:v>
                </c:pt>
                <c:pt idx="227">
                  <c:v>2.5</c:v>
                </c:pt>
                <c:pt idx="228">
                  <c:v>2.5</c:v>
                </c:pt>
                <c:pt idx="229">
                  <c:v>2.5</c:v>
                </c:pt>
                <c:pt idx="230">
                  <c:v>2.5</c:v>
                </c:pt>
                <c:pt idx="231">
                  <c:v>2.5</c:v>
                </c:pt>
                <c:pt idx="232">
                  <c:v>2.5</c:v>
                </c:pt>
                <c:pt idx="233">
                  <c:v>2.5</c:v>
                </c:pt>
                <c:pt idx="234">
                  <c:v>2.5</c:v>
                </c:pt>
                <c:pt idx="235">
                  <c:v>2.5</c:v>
                </c:pt>
                <c:pt idx="236">
                  <c:v>2.5</c:v>
                </c:pt>
                <c:pt idx="237">
                  <c:v>2.5</c:v>
                </c:pt>
                <c:pt idx="238">
                  <c:v>2.5</c:v>
                </c:pt>
                <c:pt idx="239">
                  <c:v>2.5</c:v>
                </c:pt>
                <c:pt idx="240">
                  <c:v>2.5</c:v>
                </c:pt>
                <c:pt idx="241">
                  <c:v>2.5</c:v>
                </c:pt>
                <c:pt idx="242">
                  <c:v>2.5</c:v>
                </c:pt>
                <c:pt idx="243">
                  <c:v>2.5</c:v>
                </c:pt>
                <c:pt idx="244">
                  <c:v>2.5</c:v>
                </c:pt>
                <c:pt idx="245">
                  <c:v>2.5</c:v>
                </c:pt>
                <c:pt idx="246">
                  <c:v>2.5</c:v>
                </c:pt>
                <c:pt idx="247">
                  <c:v>2.5</c:v>
                </c:pt>
                <c:pt idx="248">
                  <c:v>2.5</c:v>
                </c:pt>
                <c:pt idx="249">
                  <c:v>2.5</c:v>
                </c:pt>
                <c:pt idx="250">
                  <c:v>2.5</c:v>
                </c:pt>
                <c:pt idx="251">
                  <c:v>2.5</c:v>
                </c:pt>
                <c:pt idx="252">
                  <c:v>2.5</c:v>
                </c:pt>
                <c:pt idx="253">
                  <c:v>2.5</c:v>
                </c:pt>
                <c:pt idx="254">
                  <c:v>2.5</c:v>
                </c:pt>
                <c:pt idx="255">
                  <c:v>2.5</c:v>
                </c:pt>
                <c:pt idx="256">
                  <c:v>2.5</c:v>
                </c:pt>
                <c:pt idx="257">
                  <c:v>2.5</c:v>
                </c:pt>
                <c:pt idx="258">
                  <c:v>2.5</c:v>
                </c:pt>
                <c:pt idx="259">
                  <c:v>2.5</c:v>
                </c:pt>
                <c:pt idx="260">
                  <c:v>2.5</c:v>
                </c:pt>
                <c:pt idx="261">
                  <c:v>2.5</c:v>
                </c:pt>
                <c:pt idx="262">
                  <c:v>2.5</c:v>
                </c:pt>
                <c:pt idx="263">
                  <c:v>2.5</c:v>
                </c:pt>
                <c:pt idx="264">
                  <c:v>2.5</c:v>
                </c:pt>
                <c:pt idx="265">
                  <c:v>2.5</c:v>
                </c:pt>
                <c:pt idx="266">
                  <c:v>2.5</c:v>
                </c:pt>
                <c:pt idx="267">
                  <c:v>2.5</c:v>
                </c:pt>
                <c:pt idx="268">
                  <c:v>2.5</c:v>
                </c:pt>
                <c:pt idx="269">
                  <c:v>2.5</c:v>
                </c:pt>
                <c:pt idx="270">
                  <c:v>2.5</c:v>
                </c:pt>
                <c:pt idx="271">
                  <c:v>2.5</c:v>
                </c:pt>
                <c:pt idx="272">
                  <c:v>2.5</c:v>
                </c:pt>
                <c:pt idx="273">
                  <c:v>2.5</c:v>
                </c:pt>
                <c:pt idx="274">
                  <c:v>2.5</c:v>
                </c:pt>
                <c:pt idx="275">
                  <c:v>2.5</c:v>
                </c:pt>
                <c:pt idx="276">
                  <c:v>2.5</c:v>
                </c:pt>
                <c:pt idx="277">
                  <c:v>2.5</c:v>
                </c:pt>
                <c:pt idx="278">
                  <c:v>2.5</c:v>
                </c:pt>
                <c:pt idx="279">
                  <c:v>2.5</c:v>
                </c:pt>
                <c:pt idx="280">
                  <c:v>2.5</c:v>
                </c:pt>
                <c:pt idx="281">
                  <c:v>2.5</c:v>
                </c:pt>
                <c:pt idx="282">
                  <c:v>2.5</c:v>
                </c:pt>
                <c:pt idx="283">
                  <c:v>2.5</c:v>
                </c:pt>
                <c:pt idx="284">
                  <c:v>2.5</c:v>
                </c:pt>
                <c:pt idx="285">
                  <c:v>2.5</c:v>
                </c:pt>
                <c:pt idx="286">
                  <c:v>2.5</c:v>
                </c:pt>
                <c:pt idx="287">
                  <c:v>2.5</c:v>
                </c:pt>
                <c:pt idx="288">
                  <c:v>2.5</c:v>
                </c:pt>
                <c:pt idx="289">
                  <c:v>2.5</c:v>
                </c:pt>
                <c:pt idx="290">
                  <c:v>2.5</c:v>
                </c:pt>
                <c:pt idx="291">
                  <c:v>2.5</c:v>
                </c:pt>
                <c:pt idx="292">
                  <c:v>2.5</c:v>
                </c:pt>
                <c:pt idx="293">
                  <c:v>2.5</c:v>
                </c:pt>
                <c:pt idx="294">
                  <c:v>2.5</c:v>
                </c:pt>
                <c:pt idx="295">
                  <c:v>2.5</c:v>
                </c:pt>
                <c:pt idx="296">
                  <c:v>2.5</c:v>
                </c:pt>
                <c:pt idx="297">
                  <c:v>2.5</c:v>
                </c:pt>
                <c:pt idx="298">
                  <c:v>2.5</c:v>
                </c:pt>
                <c:pt idx="299">
                  <c:v>2.5</c:v>
                </c:pt>
              </c:numCache>
            </c:numRef>
          </c:xVal>
          <c:yVal>
            <c:numRef>
              <c:f>'Boxplot Parameters XYZZ'!$Q$2:$Q$301</c:f>
              <c:numCache>
                <c:ptCount val="30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0.281527116216784</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-0.2261241794523475</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-0.23668538478980947</c:v>
                </c:pt>
                <c:pt idx="164">
                  <c:v>#N/A</c:v>
                </c:pt>
                <c:pt idx="165">
                  <c:v>#N/A</c:v>
                </c:pt>
                <c:pt idx="166">
                  <c:v>#N/A</c:v>
                </c:pt>
                <c:pt idx="167">
                  <c:v>#N/A</c:v>
                </c:pt>
                <c:pt idx="168">
                  <c:v>#N/A</c:v>
                </c:pt>
                <c:pt idx="169">
                  <c:v>#N/A</c:v>
                </c:pt>
                <c:pt idx="170">
                  <c:v>#N/A</c:v>
                </c:pt>
                <c:pt idx="171">
                  <c:v>#N/A</c:v>
                </c:pt>
                <c:pt idx="172">
                  <c:v>-0.24382562789502688</c:v>
                </c:pt>
                <c:pt idx="173">
                  <c:v>-0.2827224514315027</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-0.39350676938258555</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-0.15758607007429418</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a:t>rmsft</a:t>
                    </a:r>
                  </a:p>
                </c:rich>
              </c:tx>
              <c:numFmt formatCode="General" sourceLinked="1"/>
              <c:dLblPos val="ctr"/>
              <c:showLegendKey val="0"/>
              <c:showVal val="0"/>
              <c:showBubbleSize val="0"/>
              <c:showCatName val="1"/>
              <c:showSerName val="0"/>
              <c:showPercent val="0"/>
            </c:dLbl>
            <c:dLbl>
              <c:idx val="1"/>
              <c:tx>
                <c:rich>
                  <a:bodyPr vert="horz" rot="0" anchor="ctr"/>
                  <a:lstStyle/>
                  <a:p>
                    <a:pPr algn="ctr">
                      <a:defRPr/>
                    </a:pPr>
                    <a:r>
                      <a:rPr lang="en-US"/>
                      <a:t>rsbux</a:t>
                    </a:r>
                  </a:p>
                </c:rich>
              </c:tx>
              <c:numFmt formatCode="General" sourceLinked="1"/>
              <c:dLblPos val="ctr"/>
              <c:showLegendKey val="0"/>
              <c:showVal val="0"/>
              <c:showBubbleSize val="0"/>
              <c:showCatName val="1"/>
              <c:showSerName val="0"/>
              <c:showPercent val="0"/>
            </c:dLbl>
            <c:dLbl>
              <c:idx val="2"/>
              <c:tx>
                <c:rich>
                  <a:bodyPr vert="horz" rot="0" anchor="ctr"/>
                  <a:lstStyle/>
                  <a:p>
                    <a:pPr algn="ctr">
                      <a:defRPr/>
                    </a:pPr>
                    <a:r>
                      <a:rPr lang="en-US"/>
                      <a:t>rsp500</a:t>
                    </a:r>
                  </a:p>
                </c:rich>
              </c:tx>
              <c:numFmt formatCode="General" sourceLinked="1"/>
              <c:dLblPos val="ctr"/>
              <c:showLegendKey val="0"/>
              <c:showVal val="0"/>
              <c:showBubbleSize val="0"/>
              <c:showCatName val="1"/>
              <c:showSerName val="0"/>
              <c:showPercent val="0"/>
            </c:dLbl>
            <c:delete val="1"/>
          </c:dLbls>
          <c:xVal>
            <c:numRef>
              <c:f>'Boxplot Parameters XYZZ'!$U$2:$U$7</c:f>
              <c:numCache>
                <c:ptCount val="6"/>
                <c:pt idx="0">
                  <c:v>0.5</c:v>
                </c:pt>
                <c:pt idx="1">
                  <c:v>1.5</c:v>
                </c:pt>
                <c:pt idx="2">
                  <c:v>2.5</c:v>
                </c:pt>
              </c:numCache>
            </c:numRef>
          </c:xVal>
          <c:yVal>
            <c:numRef>
              <c:f>'Boxplot Parameters XYZZ'!$V$2:$V$7</c:f>
              <c:numCache>
                <c:ptCount val="6"/>
                <c:pt idx="0">
                  <c:v>-0.5340745228676929</c:v>
                </c:pt>
                <c:pt idx="1">
                  <c:v>-0.5340745228676929</c:v>
                </c:pt>
                <c:pt idx="2">
                  <c:v>-0.5340745228676929</c:v>
                </c:pt>
              </c:numCache>
            </c:numRef>
          </c:yVal>
          <c:smooth val="0"/>
        </c:ser>
        <c:ser>
          <c:idx val="4"/>
          <c:order val="4"/>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 Parameters XYZZ'!$W$2:$W$9</c:f>
              <c:numCache>
                <c:ptCount val="8"/>
                <c:pt idx="0">
                  <c:v>0.2</c:v>
                </c:pt>
                <c:pt idx="1">
                  <c:v>0.8</c:v>
                </c:pt>
                <c:pt idx="3">
                  <c:v>1.2</c:v>
                </c:pt>
                <c:pt idx="4">
                  <c:v>1.8</c:v>
                </c:pt>
                <c:pt idx="6">
                  <c:v>2.2</c:v>
                </c:pt>
                <c:pt idx="7">
                  <c:v>2.8</c:v>
                </c:pt>
              </c:numCache>
            </c:numRef>
          </c:xVal>
          <c:yVal>
            <c:numRef>
              <c:f>'Boxplot Parameters XYZZ'!$X$2:$X$9</c:f>
              <c:numCache>
                <c:ptCount val="8"/>
                <c:pt idx="0">
                  <c:v>0.027563867476635005</c:v>
                </c:pt>
                <c:pt idx="1">
                  <c:v>0.027563867476635005</c:v>
                </c:pt>
                <c:pt idx="3">
                  <c:v>0.027768113312115004</c:v>
                </c:pt>
                <c:pt idx="4">
                  <c:v>0.027768113312115004</c:v>
                </c:pt>
                <c:pt idx="6">
                  <c:v>0.012533998019849396</c:v>
                </c:pt>
                <c:pt idx="7">
                  <c:v>0.012533998019849396</c:v>
                </c:pt>
              </c:numCache>
            </c:numRef>
          </c:yVal>
          <c:smooth val="0"/>
        </c:ser>
        <c:axId val="37611974"/>
        <c:axId val="2963447"/>
      </c:scatterChart>
      <c:valAx>
        <c:axId val="37611974"/>
        <c:scaling>
          <c:orientation val="minMax"/>
          <c:max val="3"/>
        </c:scaling>
        <c:axPos val="b"/>
        <c:title>
          <c:tx>
            <c:rich>
              <a:bodyPr vert="horz" rot="0" anchor="ctr"/>
              <a:lstStyle/>
              <a:p>
                <a:pPr algn="ctr">
                  <a:defRPr/>
                </a:pPr>
                <a:r>
                  <a:rPr lang="en-US" cap="none" sz="1200" b="1" i="0" u="none" baseline="0">
                    <a:latin typeface="Arial"/>
                    <a:ea typeface="Arial"/>
                    <a:cs typeface="Arial"/>
                  </a:rPr>
                  <a:t>assets</a:t>
                </a:r>
              </a:p>
            </c:rich>
          </c:tx>
          <c:layout/>
          <c:overlay val="0"/>
          <c:spPr>
            <a:noFill/>
            <a:ln>
              <a:noFill/>
            </a:ln>
          </c:spPr>
        </c:title>
        <c:delete val="0"/>
        <c:numFmt formatCode="General" sourceLinked="1"/>
        <c:majorTickMark val="none"/>
        <c:minorTickMark val="none"/>
        <c:tickLblPos val="none"/>
        <c:spPr>
          <a:ln w="3175">
            <a:noFill/>
          </a:ln>
        </c:spPr>
        <c:crossAx val="2963447"/>
        <c:crosses val="autoZero"/>
        <c:crossBetween val="midCat"/>
        <c:dispUnits/>
      </c:valAx>
      <c:valAx>
        <c:axId val="2963447"/>
        <c:scaling>
          <c:orientation val="minMax"/>
        </c:scaling>
        <c:axPos val="l"/>
        <c:title>
          <c:tx>
            <c:rich>
              <a:bodyPr vert="horz" rot="-5400000" anchor="ctr"/>
              <a:lstStyle/>
              <a:p>
                <a:pPr algn="ctr">
                  <a:defRPr/>
                </a:pPr>
                <a:r>
                  <a:rPr lang="en-US" cap="none" sz="1200" b="1" i="0" u="none" baseline="0">
                    <a:latin typeface="Arial"/>
                    <a:ea typeface="Arial"/>
                    <a:cs typeface="Arial"/>
                  </a:rPr>
                  <a:t>monthly return</a:t>
                </a:r>
              </a:p>
            </c:rich>
          </c:tx>
          <c:layout/>
          <c:overlay val="0"/>
          <c:spPr>
            <a:noFill/>
            <a:ln>
              <a:noFill/>
            </a:ln>
          </c:spPr>
        </c:title>
        <c:delete val="0"/>
        <c:numFmt formatCode="General" sourceLinked="1"/>
        <c:majorTickMark val="out"/>
        <c:minorTickMark val="none"/>
        <c:tickLblPos val="nextTo"/>
        <c:crossAx val="37611974"/>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tbill</a:t>
            </a:r>
          </a:p>
        </c:rich>
      </c:tx>
      <c:layout/>
      <c:spPr>
        <a:noFill/>
        <a:ln>
          <a:noFill/>
        </a:ln>
      </c:spPr>
    </c:title>
    <c:plotArea>
      <c:layout>
        <c:manualLayout>
          <c:xMode val="edge"/>
          <c:yMode val="edge"/>
          <c:x val="0.034"/>
          <c:y val="0.07925"/>
          <c:w val="0.93225"/>
          <c:h val="0.92075"/>
        </c:manualLayout>
      </c:layout>
      <c:barChart>
        <c:barDir val="col"/>
        <c:grouping val="clustered"/>
        <c:varyColors val="0"/>
        <c:ser>
          <c:idx val="0"/>
          <c:order val="0"/>
          <c:tx>
            <c:v>tbill</c:v>
          </c:tx>
          <c:invertIfNegative val="0"/>
          <c:extLst>
            <c:ext xmlns:c14="http://schemas.microsoft.com/office/drawing/2007/8/2/chart" uri="{6F2FDCE9-48DA-4B69-8628-5D25D57E5C99}">
              <c14:invertSolidFillFmt>
                <c14:spPr>
                  <a:solidFill>
                    <a:srgbClr val="000000"/>
                  </a:solidFill>
                </c14:spPr>
              </c14:invertSolidFillFmt>
            </c:ext>
          </c:extLst>
          <c:cat>
            <c:numRef>
              <c:f>'Histogram Parameters XYZZ'!$BG$3:$BG$17</c:f>
              <c:numCache>
                <c:ptCount val="15"/>
                <c:pt idx="0">
                  <c:v>-0.45432680704609957</c:v>
                </c:pt>
                <c:pt idx="1">
                  <c:v>-0.40357826061417656</c:v>
                </c:pt>
                <c:pt idx="2">
                  <c:v>-0.3528297141822535</c:v>
                </c:pt>
                <c:pt idx="3">
                  <c:v>-0.30208116775033056</c:v>
                </c:pt>
                <c:pt idx="4">
                  <c:v>-0.25133262131840756</c:v>
                </c:pt>
                <c:pt idx="5">
                  <c:v>-0.20058407488648455</c:v>
                </c:pt>
                <c:pt idx="6">
                  <c:v>-0.14983552845456155</c:v>
                </c:pt>
                <c:pt idx="7">
                  <c:v>-0.09908698202263855</c:v>
                </c:pt>
                <c:pt idx="8">
                  <c:v>-0.048338435590715545</c:v>
                </c:pt>
                <c:pt idx="9">
                  <c:v>0.002410110841207458</c:v>
                </c:pt>
                <c:pt idx="10">
                  <c:v>0.053158657273130405</c:v>
                </c:pt>
                <c:pt idx="11">
                  <c:v>0.10390720370505346</c:v>
                </c:pt>
                <c:pt idx="12">
                  <c:v>0.1546557501369764</c:v>
                </c:pt>
                <c:pt idx="13">
                  <c:v>0.20540429656889947</c:v>
                </c:pt>
                <c:pt idx="14">
                  <c:v>0.2561528430008224</c:v>
                </c:pt>
              </c:numCache>
            </c:numRef>
          </c:cat>
          <c:val>
            <c:numRef>
              <c:f>'Histogram Parameters XYZZ'!$BH$3:$BH$17</c:f>
              <c:numCache>
                <c:ptCount val="15"/>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numCache>
            </c:numRef>
          </c:val>
        </c:ser>
        <c:gapWidth val="0"/>
        <c:axId val="66070100"/>
        <c:axId val="57759989"/>
      </c:barChart>
      <c:catAx>
        <c:axId val="66070100"/>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57759989"/>
        <c:crosses val="autoZero"/>
        <c:auto val="1"/>
        <c:lblOffset val="100"/>
        <c:noMultiLvlLbl val="0"/>
      </c:catAx>
      <c:valAx>
        <c:axId val="57759989"/>
        <c:scaling>
          <c:orientation val="minMax"/>
          <c:max val="1"/>
          <c:min val="0"/>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70100"/>
        <c:crossesAt val="1"/>
        <c:crossBetween val="between"/>
        <c:dispUnits/>
        <c:majorUnit val="0.2"/>
      </c:valAx>
      <c:spPr>
        <a:noFill/>
      </c:spPr>
    </c:plotArea>
    <c:plotVisOnly val="1"/>
    <c:dispBlanksAs val="gap"/>
    <c:showDLblsOverMax val="0"/>
  </c:chart>
  <c:txPr>
    <a:bodyPr vert="horz" rot="0"/>
    <a:lstStyle/>
    <a:p>
      <a:pPr>
        <a:defRPr lang="en-US" cap="none" sz="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671024"/>
        <c:axId val="38712625"/>
      </c:barChart>
      <c:catAx>
        <c:axId val="26671024"/>
        <c:scaling>
          <c:orientation val="minMax"/>
        </c:scaling>
        <c:axPos val="b"/>
        <c:delete val="0"/>
        <c:numFmt formatCode="General" sourceLinked="1"/>
        <c:majorTickMark val="out"/>
        <c:minorTickMark val="none"/>
        <c:tickLblPos val="nextTo"/>
        <c:crossAx val="38712625"/>
        <c:crosses val="autoZero"/>
        <c:auto val="1"/>
        <c:lblOffset val="100"/>
        <c:noMultiLvlLbl val="0"/>
      </c:catAx>
      <c:valAx>
        <c:axId val="38712625"/>
        <c:scaling>
          <c:orientation val="minMax"/>
        </c:scaling>
        <c:axPos val="l"/>
        <c:majorGridlines/>
        <c:delete val="0"/>
        <c:numFmt formatCode="General" sourceLinked="1"/>
        <c:majorTickMark val="out"/>
        <c:minorTickMark val="none"/>
        <c:tickLblPos val="nextTo"/>
        <c:crossAx val="266710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xVal>
          <c:y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yVal>
          <c:smooth val="0"/>
        </c:ser>
        <c:axId val="12869306"/>
        <c:axId val="48714891"/>
      </c:scatterChart>
      <c:valAx>
        <c:axId val="12869306"/>
        <c:scaling>
          <c:orientation val="minMax"/>
          <c:max val="0.281527116216784"/>
          <c:min val="-0.42087738710305117"/>
        </c:scaling>
        <c:axPos val="b"/>
        <c:delete val="1"/>
        <c:majorTickMark val="out"/>
        <c:minorTickMark val="none"/>
        <c:tickLblPos val="nextTo"/>
        <c:crossAx val="48714891"/>
        <c:crosses val="autoZero"/>
        <c:crossBetween val="midCat"/>
        <c:dispUnits/>
      </c:valAx>
      <c:valAx>
        <c:axId val="48714891"/>
        <c:scaling>
          <c:orientation val="minMax"/>
          <c:max val="0.27966705915226586"/>
          <c:min val="-0.47970108026206104"/>
        </c:scaling>
        <c:axPos val="l"/>
        <c:delete val="1"/>
        <c:majorTickMark val="out"/>
        <c:minorTickMark val="none"/>
        <c:tickLblPos val="nextTo"/>
        <c:crossAx val="12869306"/>
        <c:crosses val="autoZero"/>
        <c:crossBetween val="midCat"/>
        <c:dispUnits/>
      </c:valAx>
      <c:spPr>
        <a:noFill/>
        <a:ln>
          <a:noFill/>
        </a:ln>
      </c:spPr>
    </c:plotArea>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xVal>
          <c:yVal>
            <c:numRef>
              <c:f>data!$I$4:$I$103</c:f>
              <c:numCache>
                <c:ptCount val="100"/>
                <c:pt idx="0">
                  <c:v>0.038618362837734996</c:v>
                </c:pt>
                <c:pt idx="1">
                  <c:v>-0.024290180670616498</c:v>
                </c:pt>
                <c:pt idx="2">
                  <c:v>0.0090644141544072</c:v>
                </c:pt>
                <c:pt idx="3">
                  <c:v>0.00210405586421754</c:v>
                </c:pt>
                <c:pt idx="4">
                  <c:v>0.029812920535904664</c:v>
                </c:pt>
                <c:pt idx="5">
                  <c:v>0.010057058909607923</c:v>
                </c:pt>
                <c:pt idx="6">
                  <c:v>0.007021264078719025</c:v>
                </c:pt>
                <c:pt idx="7">
                  <c:v>0.010429041654892349</c:v>
                </c:pt>
                <c:pt idx="8">
                  <c:v>0.01852463452645282</c:v>
                </c:pt>
                <c:pt idx="9">
                  <c:v>-0.025745372804774513</c:v>
                </c:pt>
                <c:pt idx="10">
                  <c:v>0.022463263988382214</c:v>
                </c:pt>
                <c:pt idx="11">
                  <c:v>0.0007549516301373383</c:v>
                </c:pt>
                <c:pt idx="12">
                  <c:v>-0.00534129861324958</c:v>
                </c:pt>
                <c:pt idx="13">
                  <c:v>0.033852457573435274</c:v>
                </c:pt>
                <c:pt idx="14">
                  <c:v>-0.010038133482406217</c:v>
                </c:pt>
                <c:pt idx="15">
                  <c:v>0.019207289080128778</c:v>
                </c:pt>
                <c:pt idx="16">
                  <c:v>-0.012994739773819838</c:v>
                </c:pt>
                <c:pt idx="17">
                  <c:v>0.010040591116877065</c:v>
                </c:pt>
                <c:pt idx="18">
                  <c:v>0.031983824491671184</c:v>
                </c:pt>
                <c:pt idx="19">
                  <c:v>-0.03050565928931071</c:v>
                </c:pt>
                <c:pt idx="20">
                  <c:v>-0.04682587467296497</c:v>
                </c:pt>
                <c:pt idx="21">
                  <c:v>0.011464639111236987</c:v>
                </c:pt>
                <c:pt idx="22">
                  <c:v>0.012320936987420615</c:v>
                </c:pt>
                <c:pt idx="23">
                  <c:v>-0.027156214317501502</c:v>
                </c:pt>
                <c:pt idx="24">
                  <c:v>0.03100422291367488</c:v>
                </c:pt>
                <c:pt idx="25">
                  <c:v>0.03690914263888793</c:v>
                </c:pt>
                <c:pt idx="26">
                  <c:v>-0.02724534331489988</c:v>
                </c:pt>
                <c:pt idx="27">
                  <c:v>0.02061972825995886</c:v>
                </c:pt>
                <c:pt idx="28">
                  <c:v>-0.04030609078438459</c:v>
                </c:pt>
                <c:pt idx="29">
                  <c:v>0.012224126981340542</c:v>
                </c:pt>
                <c:pt idx="30">
                  <c:v>0.023987640275298247</c:v>
                </c:pt>
                <c:pt idx="31">
                  <c:v>0.035438711264096985</c:v>
                </c:pt>
                <c:pt idx="32">
                  <c:v>0.026962467224111115</c:v>
                </c:pt>
                <c:pt idx="33">
                  <c:v>0.02757654408783848</c:v>
                </c:pt>
                <c:pt idx="34">
                  <c:v>0.03566797648446964</c:v>
                </c:pt>
                <c:pt idx="35">
                  <c:v>0.021055362076815406</c:v>
                </c:pt>
                <c:pt idx="36">
                  <c:v>0.031281631936187715</c:v>
                </c:pt>
                <c:pt idx="37">
                  <c:v>-0.00032030179820779727</c:v>
                </c:pt>
                <c:pt idx="38">
                  <c:v>0.03931448733485356</c:v>
                </c:pt>
                <c:pt idx="39">
                  <c:v>-0.004991819338843618</c:v>
                </c:pt>
                <c:pt idx="40">
                  <c:v>0.04022886938718334</c:v>
                </c:pt>
                <c:pt idx="41">
                  <c:v>0.017293479366880037</c:v>
                </c:pt>
                <c:pt idx="42">
                  <c:v>0.032096688673788</c:v>
                </c:pt>
                <c:pt idx="43">
                  <c:v>0.0069098163601865855</c:v>
                </c:pt>
                <c:pt idx="44">
                  <c:v>0.00788538453994017</c:v>
                </c:pt>
                <c:pt idx="45">
                  <c:v>0.013342046230175701</c:v>
                </c:pt>
                <c:pt idx="46">
                  <c:v>0.02259615972339602</c:v>
                </c:pt>
                <c:pt idx="47">
                  <c:v>0.0022541528484939432</c:v>
                </c:pt>
                <c:pt idx="48">
                  <c:v>-0.046827520786961854</c:v>
                </c:pt>
                <c:pt idx="49">
                  <c:v>0.018639176083919788</c:v>
                </c:pt>
                <c:pt idx="50">
                  <c:v>0.0527853018507915</c:v>
                </c:pt>
                <c:pt idx="51">
                  <c:v>0.025766181981528097</c:v>
                </c:pt>
                <c:pt idx="52">
                  <c:v>0.0708089649496645</c:v>
                </c:pt>
                <c:pt idx="53">
                  <c:v>-0.021739986636405875</c:v>
                </c:pt>
                <c:pt idx="54">
                  <c:v>0.059510647522872405</c:v>
                </c:pt>
                <c:pt idx="55">
                  <c:v>0.005910047767196773</c:v>
                </c:pt>
                <c:pt idx="56">
                  <c:v>-0.04354862047140087</c:v>
                </c:pt>
                <c:pt idx="57">
                  <c:v>0.05676356506996887</c:v>
                </c:pt>
                <c:pt idx="58">
                  <c:v>0.05692544355092693</c:v>
                </c:pt>
                <c:pt idx="59">
                  <c:v>0.042535054616412785</c:v>
                </c:pt>
                <c:pt idx="60">
                  <c:v>0.07524274166607597</c:v>
                </c:pt>
                <c:pt idx="61">
                  <c:v>-0.05918286528109512</c:v>
                </c:pt>
                <c:pt idx="62">
                  <c:v>0.051789019050444966</c:v>
                </c:pt>
                <c:pt idx="63">
                  <c:v>-0.03508604155478369</c:v>
                </c:pt>
                <c:pt idx="64">
                  <c:v>0.043621422487943796</c:v>
                </c:pt>
                <c:pt idx="65">
                  <c:v>0.015609171282679583</c:v>
                </c:pt>
                <c:pt idx="66">
                  <c:v>0.010098972903237103</c:v>
                </c:pt>
                <c:pt idx="67">
                  <c:v>0.06807842894737663</c:v>
                </c:pt>
                <c:pt idx="68">
                  <c:v>0.04873842963294152</c:v>
                </c:pt>
                <c:pt idx="69">
                  <c:v>0.009035525668709443</c:v>
                </c:pt>
                <c:pt idx="70">
                  <c:v>-0.019005643420609574</c:v>
                </c:pt>
                <c:pt idx="71">
                  <c:v>0.03868039488845361</c:v>
                </c:pt>
                <c:pt idx="72">
                  <c:v>-0.011683381142634086</c:v>
                </c:pt>
                <c:pt idx="73">
                  <c:v>-0.15758607007429418</c:v>
                </c:pt>
                <c:pt idx="74">
                  <c:v>0.06052629920018749</c:v>
                </c:pt>
                <c:pt idx="75">
                  <c:v>0.07723340749532363</c:v>
                </c:pt>
                <c:pt idx="76">
                  <c:v>0.05744407200715167</c:v>
                </c:pt>
                <c:pt idx="77">
                  <c:v>0.054843527731920916</c:v>
                </c:pt>
                <c:pt idx="78">
                  <c:v>0.040190831279158935</c:v>
                </c:pt>
                <c:pt idx="79">
                  <c:v>-0.032815090665377786</c:v>
                </c:pt>
                <c:pt idx="80">
                  <c:v>0.03806060056715658</c:v>
                </c:pt>
                <c:pt idx="81">
                  <c:v>0.037241815948836486</c:v>
                </c:pt>
                <c:pt idx="82">
                  <c:v>-0.025287465853720853</c:v>
                </c:pt>
                <c:pt idx="83">
                  <c:v>0.05300823979166552</c:v>
                </c:pt>
                <c:pt idx="84">
                  <c:v>-0.03257081535328095</c:v>
                </c:pt>
                <c:pt idx="85">
                  <c:v>-0.006273778377796873</c:v>
                </c:pt>
                <c:pt idx="86">
                  <c:v>-0.028967267082334575</c:v>
                </c:pt>
                <c:pt idx="87">
                  <c:v>0.06066176674701588</c:v>
                </c:pt>
                <c:pt idx="88">
                  <c:v>0.018882472761026243</c:v>
                </c:pt>
                <c:pt idx="89">
                  <c:v>0.05623279965410548</c:v>
                </c:pt>
                <c:pt idx="90">
                  <c:v>-0.052244822952783904</c:v>
                </c:pt>
                <c:pt idx="91">
                  <c:v>-0.02031306261044836</c:v>
                </c:pt>
                <c:pt idx="92">
                  <c:v>0.09232381212222356</c:v>
                </c:pt>
                <c:pt idx="93">
                  <c:v>-0.03127997725807787</c:v>
                </c:pt>
                <c:pt idx="94">
                  <c:v>-0.022158698229963615</c:v>
                </c:pt>
                <c:pt idx="95">
                  <c:v>0.02365163115673065</c:v>
                </c:pt>
                <c:pt idx="96">
                  <c:v>-0.01647625326436223</c:v>
                </c:pt>
                <c:pt idx="97">
                  <c:v>0.05892815758821184</c:v>
                </c:pt>
                <c:pt idx="98">
                  <c:v>-0.054966292284748544</c:v>
                </c:pt>
                <c:pt idx="99">
                  <c:v>-0.004961784973662941</c:v>
                </c:pt>
              </c:numCache>
            </c:numRef>
          </c:yVal>
          <c:smooth val="0"/>
        </c:ser>
        <c:axId val="35780836"/>
        <c:axId val="53592069"/>
      </c:scatterChart>
      <c:valAx>
        <c:axId val="35780836"/>
        <c:scaling>
          <c:orientation val="minMax"/>
          <c:max val="0.281527116216784"/>
          <c:min val="-0.42087738710305117"/>
        </c:scaling>
        <c:axPos val="b"/>
        <c:delete val="1"/>
        <c:majorTickMark val="out"/>
        <c:minorTickMark val="none"/>
        <c:tickLblPos val="nextTo"/>
        <c:crossAx val="53592069"/>
        <c:crosses val="autoZero"/>
        <c:crossBetween val="midCat"/>
        <c:dispUnits/>
      </c:valAx>
      <c:valAx>
        <c:axId val="53592069"/>
        <c:scaling>
          <c:orientation val="minMax"/>
          <c:max val="0.09232381212222356"/>
          <c:min val="-0.15758607007429418"/>
        </c:scaling>
        <c:axPos val="l"/>
        <c:delete val="1"/>
        <c:majorTickMark val="out"/>
        <c:minorTickMark val="none"/>
        <c:tickLblPos val="nextTo"/>
        <c:crossAx val="35780836"/>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xVal>
          <c:yVal>
            <c:numRef>
              <c:f>data!$F$4:$F$103</c:f>
              <c:numCache>
                <c:ptCount val="100"/>
                <c:pt idx="0">
                  <c:v>0.0026894633791912296</c:v>
                </c:pt>
                <c:pt idx="1">
                  <c:v>0.002624888921614277</c:v>
                </c:pt>
                <c:pt idx="2">
                  <c:v>0.0024389581400472812</c:v>
                </c:pt>
                <c:pt idx="3">
                  <c:v>0.002406579962531351</c:v>
                </c:pt>
                <c:pt idx="4">
                  <c:v>0.002632963465812548</c:v>
                </c:pt>
                <c:pt idx="5">
                  <c:v>0.002697531669204121</c:v>
                </c:pt>
                <c:pt idx="6">
                  <c:v>0.002519848588384053</c:v>
                </c:pt>
                <c:pt idx="7">
                  <c:v>0.00245514251246816</c:v>
                </c:pt>
                <c:pt idx="8">
                  <c:v>0.002471323742292565</c:v>
                </c:pt>
                <c:pt idx="9">
                  <c:v>0.002406579962531351</c:v>
                </c:pt>
                <c:pt idx="10">
                  <c:v>0.002487501830740393</c:v>
                </c:pt>
                <c:pt idx="11">
                  <c:v>0.0025764252195602387</c:v>
                </c:pt>
                <c:pt idx="12">
                  <c:v>0.0025521827951467094</c:v>
                </c:pt>
                <c:pt idx="13">
                  <c:v>0.002536017260016722</c:v>
                </c:pt>
                <c:pt idx="14">
                  <c:v>0.002471323742292565</c:v>
                </c:pt>
                <c:pt idx="15">
                  <c:v>0.002536017260016722</c:v>
                </c:pt>
                <c:pt idx="16">
                  <c:v>0.002608737485701067</c:v>
                </c:pt>
                <c:pt idx="17">
                  <c:v>0.0025683451949905134</c:v>
                </c:pt>
                <c:pt idx="18">
                  <c:v>0.0024955896973292797</c:v>
                </c:pt>
                <c:pt idx="19">
                  <c:v>0.0027297970198476196</c:v>
                </c:pt>
                <c:pt idx="20">
                  <c:v>0.002939217840159926</c:v>
                </c:pt>
                <c:pt idx="21">
                  <c:v>0.0030919239959586015</c:v>
                </c:pt>
                <c:pt idx="22">
                  <c:v>0.0034844585677842564</c:v>
                </c:pt>
                <c:pt idx="23">
                  <c:v>0.0034684728909015194</c:v>
                </c:pt>
                <c:pt idx="24">
                  <c:v>0.003636169751671796</c:v>
                </c:pt>
                <c:pt idx="25">
                  <c:v>0.003755746947298158</c:v>
                </c:pt>
                <c:pt idx="26">
                  <c:v>0.0038671977345128778</c:v>
                </c:pt>
                <c:pt idx="27">
                  <c:v>0.00414517432456786</c:v>
                </c:pt>
                <c:pt idx="28">
                  <c:v>0.004422226744724396</c:v>
                </c:pt>
                <c:pt idx="29">
                  <c:v>0.00466684917627372</c:v>
                </c:pt>
                <c:pt idx="30">
                  <c:v>0.004777088884939193</c:v>
                </c:pt>
                <c:pt idx="31">
                  <c:v>0.004808559177357457</c:v>
                </c:pt>
                <c:pt idx="32">
                  <c:v>0.004784957572290517</c:v>
                </c:pt>
                <c:pt idx="33">
                  <c:v>0.004729861151550775</c:v>
                </c:pt>
                <c:pt idx="34">
                  <c:v>0.004737734299398574</c:v>
                </c:pt>
                <c:pt idx="35">
                  <c:v>0.004572241786736736</c:v>
                </c:pt>
                <c:pt idx="36">
                  <c:v>0.004532790319194294</c:v>
                </c:pt>
                <c:pt idx="37">
                  <c:v>0.0045170045011260086</c:v>
                </c:pt>
                <c:pt idx="38">
                  <c:v>0.004406419966730636</c:v>
                </c:pt>
                <c:pt idx="39">
                  <c:v>0.004414323730508821</c:v>
                </c:pt>
                <c:pt idx="40">
                  <c:v>0.00447752686841393</c:v>
                </c:pt>
                <c:pt idx="41">
                  <c:v>0.004295688490047997</c:v>
                </c:pt>
                <c:pt idx="42">
                  <c:v>0.0041848096800514815</c:v>
                </c:pt>
                <c:pt idx="43">
                  <c:v>0.004034094933974031</c:v>
                </c:pt>
                <c:pt idx="44">
                  <c:v>0.00414517432456786</c:v>
                </c:pt>
                <c:pt idx="45">
                  <c:v>0.004137244990784463</c:v>
                </c:pt>
                <c:pt idx="46">
                  <c:v>0.0041848096800514815</c:v>
                </c:pt>
                <c:pt idx="47">
                  <c:v>0.0042481870637191095</c:v>
                </c:pt>
                <c:pt idx="48">
                  <c:v>0.004303602762653108</c:v>
                </c:pt>
                <c:pt idx="49">
                  <c:v>0.004216504396924283</c:v>
                </c:pt>
                <c:pt idx="50">
                  <c:v>0.0042561058486666765</c:v>
                </c:pt>
                <c:pt idx="51">
                  <c:v>0.00416103072901741</c:v>
                </c:pt>
                <c:pt idx="52">
                  <c:v>0.004200658545320413</c:v>
                </c:pt>
                <c:pt idx="53">
                  <c:v>0.0040975870005374206</c:v>
                </c:pt>
                <c:pt idx="54">
                  <c:v>0.004200658545320413</c:v>
                </c:pt>
                <c:pt idx="55">
                  <c:v>0.00417688411693421</c:v>
                </c:pt>
                <c:pt idx="56">
                  <c:v>0.004287773465742912</c:v>
                </c:pt>
                <c:pt idx="57">
                  <c:v>0.004303602762653108</c:v>
                </c:pt>
                <c:pt idx="58">
                  <c:v>0.004224426192959762</c:v>
                </c:pt>
                <c:pt idx="59">
                  <c:v>0.004121384059382742</c:v>
                </c:pt>
                <c:pt idx="60">
                  <c:v>0.004216504396924283</c:v>
                </c:pt>
                <c:pt idx="61">
                  <c:v>0.004287773465742912</c:v>
                </c:pt>
                <c:pt idx="62">
                  <c:v>0.004129314902437256</c:v>
                </c:pt>
                <c:pt idx="63">
                  <c:v>0.004153102903930941</c:v>
                </c:pt>
                <c:pt idx="64">
                  <c:v>0.004287773465742912</c:v>
                </c:pt>
                <c:pt idx="65">
                  <c:v>0.004303602762653108</c:v>
                </c:pt>
                <c:pt idx="66">
                  <c:v>0.004208581847758979</c:v>
                </c:pt>
                <c:pt idx="67">
                  <c:v>0.0042481870637191095</c:v>
                </c:pt>
                <c:pt idx="68">
                  <c:v>0.004192734489465804</c:v>
                </c:pt>
                <c:pt idx="69">
                  <c:v>0.004129314902437256</c:v>
                </c:pt>
                <c:pt idx="70">
                  <c:v>0.00417688411693421</c:v>
                </c:pt>
                <c:pt idx="71">
                  <c:v>0.00416103072901741</c:v>
                </c:pt>
                <c:pt idx="72">
                  <c:v>0.004137244990784463</c:v>
                </c:pt>
                <c:pt idx="73">
                  <c:v>0.0040975870005374206</c:v>
                </c:pt>
                <c:pt idx="74">
                  <c:v>0.003859241905270813</c:v>
                </c:pt>
                <c:pt idx="75">
                  <c:v>0.0033244636384729843</c:v>
                </c:pt>
                <c:pt idx="76">
                  <c:v>0.0036919937963770435</c:v>
                </c:pt>
                <c:pt idx="77">
                  <c:v>0.003668073784731278</c:v>
                </c:pt>
                <c:pt idx="78">
                  <c:v>0.0036281918345401985</c:v>
                </c:pt>
                <c:pt idx="79">
                  <c:v>0.003715906943989699</c:v>
                </c:pt>
                <c:pt idx="80">
                  <c:v>0.003723876468533881</c:v>
                </c:pt>
                <c:pt idx="81">
                  <c:v>0.003596272526160636</c:v>
                </c:pt>
                <c:pt idx="82">
                  <c:v>0.0037716776170721215</c:v>
                </c:pt>
                <c:pt idx="83">
                  <c:v>0.0038433279677961645</c:v>
                </c:pt>
                <c:pt idx="84">
                  <c:v>0.0038194513619309463</c:v>
                </c:pt>
                <c:pt idx="85">
                  <c:v>0.003962608488185215</c:v>
                </c:pt>
                <c:pt idx="86">
                  <c:v>0.0039228672821606915</c:v>
                </c:pt>
                <c:pt idx="87">
                  <c:v>0.004081718518468449</c:v>
                </c:pt>
                <c:pt idx="88">
                  <c:v>0.0042481870637191095</c:v>
                </c:pt>
                <c:pt idx="89">
                  <c:v>0.004351072620577843</c:v>
                </c:pt>
                <c:pt idx="90">
                  <c:v>0.004461730577335827</c:v>
                </c:pt>
                <c:pt idx="91">
                  <c:v>0.0046432073963620065</c:v>
                </c:pt>
                <c:pt idx="92">
                  <c:v>0.004745606703479079</c:v>
                </c:pt>
                <c:pt idx="93">
                  <c:v>0.004714112623991256</c:v>
                </c:pt>
                <c:pt idx="94">
                  <c:v>0.004847880337589423</c:v>
                </c:pt>
                <c:pt idx="95">
                  <c:v>0.004745606703479079</c:v>
                </c:pt>
                <c:pt idx="96">
                  <c:v>0.0049657326176382206</c:v>
                </c:pt>
                <c:pt idx="97">
                  <c:v>0.005075577908626861</c:v>
                </c:pt>
                <c:pt idx="98">
                  <c:v>0.004997131763952748</c:v>
                </c:pt>
                <c:pt idx="99">
                  <c:v>0.005083418463116508</c:v>
                </c:pt>
              </c:numCache>
            </c:numRef>
          </c:yVal>
          <c:smooth val="0"/>
        </c:ser>
        <c:axId val="12566574"/>
        <c:axId val="45990303"/>
      </c:scatterChart>
      <c:valAx>
        <c:axId val="12566574"/>
        <c:scaling>
          <c:orientation val="minMax"/>
          <c:max val="0.281527116216784"/>
          <c:min val="-0.42087738710305117"/>
        </c:scaling>
        <c:axPos val="b"/>
        <c:delete val="1"/>
        <c:majorTickMark val="out"/>
        <c:minorTickMark val="none"/>
        <c:tickLblPos val="nextTo"/>
        <c:crossAx val="45990303"/>
        <c:crosses val="autoZero"/>
        <c:crossBetween val="midCat"/>
        <c:dispUnits/>
      </c:valAx>
      <c:valAx>
        <c:axId val="45990303"/>
        <c:scaling>
          <c:orientation val="minMax"/>
          <c:max val="0.005083418463116508"/>
          <c:min val="0.002406579962531351"/>
        </c:scaling>
        <c:axPos val="l"/>
        <c:delete val="1"/>
        <c:majorTickMark val="out"/>
        <c:minorTickMark val="none"/>
        <c:tickLblPos val="nextTo"/>
        <c:crossAx val="12566574"/>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noFill/>
              </a:ln>
            </c:spPr>
          </c:marker>
          <c:xVal>
            <c:numRef>
              <c:f>data!$G$4:$G$103</c:f>
              <c:numCache>
                <c:ptCount val="100"/>
                <c:pt idx="0">
                  <c:v>0.1795190813417251</c:v>
                </c:pt>
                <c:pt idx="1">
                  <c:v>-0.06797178905094751</c:v>
                </c:pt>
                <c:pt idx="2">
                  <c:v>0.19561163803558895</c:v>
                </c:pt>
                <c:pt idx="3">
                  <c:v>-0.025092697903153976</c:v>
                </c:pt>
                <c:pt idx="4">
                  <c:v>0.24660580831961204</c:v>
                </c:pt>
                <c:pt idx="5">
                  <c:v>-0.020078159021161803</c:v>
                </c:pt>
                <c:pt idx="6">
                  <c:v>0.03974032864951412</c:v>
                </c:pt>
                <c:pt idx="7">
                  <c:v>-0.060229894536693654</c:v>
                </c:pt>
                <c:pt idx="8">
                  <c:v>0.047157812969341024</c:v>
                </c:pt>
                <c:pt idx="9">
                  <c:v>0.019554918600337808</c:v>
                </c:pt>
                <c:pt idx="10">
                  <c:v>0.21405993258116734</c:v>
                </c:pt>
                <c:pt idx="11">
                  <c:v>0.02061928720273561</c:v>
                </c:pt>
                <c:pt idx="12">
                  <c:v>-0.03109058707003112</c:v>
                </c:pt>
                <c:pt idx="13">
                  <c:v>0.020834086902842053</c:v>
                </c:pt>
                <c:pt idx="14">
                  <c:v>0.12122087666255746</c:v>
                </c:pt>
                <c:pt idx="15">
                  <c:v>-0.02310302070403419</c:v>
                </c:pt>
                <c:pt idx="16">
                  <c:v>-0.18419246472976636</c:v>
                </c:pt>
                <c:pt idx="17">
                  <c:v>0</c:v>
                </c:pt>
                <c:pt idx="18">
                  <c:v>0.07571182173569638</c:v>
                </c:pt>
                <c:pt idx="19">
                  <c:v>-0.0317486983145803</c:v>
                </c:pt>
                <c:pt idx="20">
                  <c:v>0.04726108994508879</c:v>
                </c:pt>
                <c:pt idx="21">
                  <c:v>0.19926291001318458</c:v>
                </c:pt>
                <c:pt idx="22">
                  <c:v>-0.042925044717033886</c:v>
                </c:pt>
                <c:pt idx="23">
                  <c:v>-0.12107793155323604</c:v>
                </c:pt>
                <c:pt idx="24">
                  <c:v>0.13846967426510512</c:v>
                </c:pt>
                <c:pt idx="25">
                  <c:v>-0.026202372394024072</c:v>
                </c:pt>
                <c:pt idx="26">
                  <c:v>-0.20288987184446508</c:v>
                </c:pt>
                <c:pt idx="27">
                  <c:v>0.1622448528135667</c:v>
                </c:pt>
                <c:pt idx="28">
                  <c:v>-0.011583971484000397</c:v>
                </c:pt>
                <c:pt idx="29">
                  <c:v>0.02532153759497447</c:v>
                </c:pt>
                <c:pt idx="30">
                  <c:v>-0.13613217432458005</c:v>
                </c:pt>
                <c:pt idx="31">
                  <c:v>-0.005213567052887434</c:v>
                </c:pt>
                <c:pt idx="32">
                  <c:v>0.005213567052887547</c:v>
                </c:pt>
                <c:pt idx="33">
                  <c:v>-0.02105340919783238</c:v>
                </c:pt>
                <c:pt idx="34">
                  <c:v>0.21244482133132703</c:v>
                </c:pt>
                <c:pt idx="35">
                  <c:v>0.20359678205652781</c:v>
                </c:pt>
                <c:pt idx="36">
                  <c:v>0.04796535832913346</c:v>
                </c:pt>
                <c:pt idx="37">
                  <c:v>0.06787207124683467</c:v>
                </c:pt>
                <c:pt idx="38">
                  <c:v>-0.05458290977029228</c:v>
                </c:pt>
                <c:pt idx="39">
                  <c:v>0.03565489988477343</c:v>
                </c:pt>
                <c:pt idx="40">
                  <c:v>0.0736529095747654</c:v>
                </c:pt>
                <c:pt idx="41">
                  <c:v>-0.005934735519814578</c:v>
                </c:pt>
                <c:pt idx="42">
                  <c:v>-0.2261241794523475</c:v>
                </c:pt>
                <c:pt idx="43">
                  <c:v>0.050920090427256946</c:v>
                </c:pt>
                <c:pt idx="44">
                  <c:v>0.27966705915226586</c:v>
                </c:pt>
                <c:pt idx="45">
                  <c:v>0.1514704040100253</c:v>
                </c:pt>
                <c:pt idx="46">
                  <c:v>0</c:v>
                </c:pt>
                <c:pt idx="47">
                  <c:v>0.04063764573182626</c:v>
                </c:pt>
                <c:pt idx="48">
                  <c:v>-0.08299691957096791</c:v>
                </c:pt>
                <c:pt idx="49">
                  <c:v>0.23080642405977886</c:v>
                </c:pt>
                <c:pt idx="50">
                  <c:v>0.0076045993852192125</c:v>
                </c:pt>
                <c:pt idx="51">
                  <c:v>-0.01526747213078842</c:v>
                </c:pt>
                <c:pt idx="52">
                  <c:v>0.06333587517181076</c:v>
                </c:pt>
                <c:pt idx="53">
                  <c:v>-0.19029550263309888</c:v>
                </c:pt>
                <c:pt idx="54">
                  <c:v>0.1794061028338305</c:v>
                </c:pt>
                <c:pt idx="55">
                  <c:v>-0.01841672678623115</c:v>
                </c:pt>
                <c:pt idx="56">
                  <c:v>-0.12665123846670798</c:v>
                </c:pt>
                <c:pt idx="57">
                  <c:v>0.00840341079637938</c:v>
                </c:pt>
                <c:pt idx="58">
                  <c:v>0.05296553557991272</c:v>
                </c:pt>
                <c:pt idx="59">
                  <c:v>0.21197281893108522</c:v>
                </c:pt>
                <c:pt idx="60">
                  <c:v>0.05008859137790611</c:v>
                </c:pt>
                <c:pt idx="61">
                  <c:v>0.0015231105637289332</c:v>
                </c:pt>
                <c:pt idx="62">
                  <c:v>0.019620879551981975</c:v>
                </c:pt>
                <c:pt idx="63">
                  <c:v>-0.23668538478980947</c:v>
                </c:pt>
                <c:pt idx="64">
                  <c:v>0.05526267867504952</c:v>
                </c:pt>
                <c:pt idx="65">
                  <c:v>0.09563596576583158</c:v>
                </c:pt>
                <c:pt idx="66">
                  <c:v>-0.04838581596176132</c:v>
                </c:pt>
                <c:pt idx="67">
                  <c:v>0.07885878230947084</c:v>
                </c:pt>
                <c:pt idx="68">
                  <c:v>0.13570155346083573</c:v>
                </c:pt>
                <c:pt idx="69">
                  <c:v>0.06022106689204183</c:v>
                </c:pt>
                <c:pt idx="70">
                  <c:v>-0.0026007817000573675</c:v>
                </c:pt>
                <c:pt idx="71">
                  <c:v>0.10731360713236639</c:v>
                </c:pt>
                <c:pt idx="72">
                  <c:v>-0.24382562789502688</c:v>
                </c:pt>
                <c:pt idx="73">
                  <c:v>-0.2827224514315027</c:v>
                </c:pt>
                <c:pt idx="74">
                  <c:v>0.13674998000081492</c:v>
                </c:pt>
                <c:pt idx="75">
                  <c:v>0.18116671955248057</c:v>
                </c:pt>
                <c:pt idx="76">
                  <c:v>0.061471864093668</c:v>
                </c:pt>
                <c:pt idx="77">
                  <c:v>0.19622624370172717</c:v>
                </c:pt>
                <c:pt idx="78">
                  <c:v>-0.07513834690550898</c:v>
                </c:pt>
                <c:pt idx="79">
                  <c:v>0.015487638209532702</c:v>
                </c:pt>
                <c:pt idx="80">
                  <c:v>0.059650708695976405</c:v>
                </c:pt>
                <c:pt idx="81">
                  <c:v>0.27479312966384384</c:v>
                </c:pt>
                <c:pt idx="82">
                  <c:v>-0.0016934805063330315</c:v>
                </c:pt>
                <c:pt idx="83">
                  <c:v>0.01847239763544248</c:v>
                </c:pt>
                <c:pt idx="84">
                  <c:v>-0.47970108026206104</c:v>
                </c:pt>
                <c:pt idx="85">
                  <c:v>-0.01626052087178029</c:v>
                </c:pt>
                <c:pt idx="86">
                  <c:v>0.08004069001702417</c:v>
                </c:pt>
                <c:pt idx="87">
                  <c:v>0.0926720076702937</c:v>
                </c:pt>
                <c:pt idx="88">
                  <c:v>-0.023256862164267235</c:v>
                </c:pt>
                <c:pt idx="89">
                  <c:v>-0.09108382930114337</c:v>
                </c:pt>
                <c:pt idx="90">
                  <c:v>0.27731928541623435</c:v>
                </c:pt>
                <c:pt idx="91">
                  <c:v>0.0931772248541833</c:v>
                </c:pt>
                <c:pt idx="92">
                  <c:v>0.24357399070592925</c:v>
                </c:pt>
                <c:pt idx="93">
                  <c:v>-0.39350676938258555</c:v>
                </c:pt>
                <c:pt idx="94">
                  <c:v>0.11738017563890785</c:v>
                </c:pt>
                <c:pt idx="95">
                  <c:v>0.1161477123156526</c:v>
                </c:pt>
                <c:pt idx="96">
                  <c:v>-0.018167303955448938</c:v>
                </c:pt>
                <c:pt idx="97">
                  <c:v>-0.023609865639133736</c:v>
                </c:pt>
                <c:pt idx="98">
                  <c:v>0.08970966734365739</c:v>
                </c:pt>
                <c:pt idx="99">
                  <c:v>0.1092530857733377</c:v>
                </c:pt>
              </c:numCache>
            </c:numRef>
          </c:xVal>
          <c:yVal>
            <c:numRef>
              <c:f>data!$H$4:$H$103</c:f>
              <c:numCache>
                <c:ptCount val="100"/>
                <c:pt idx="0">
                  <c:v>0.038539162268914316</c:v>
                </c:pt>
                <c:pt idx="1">
                  <c:v>0.023753982754551504</c:v>
                </c:pt>
                <c:pt idx="2">
                  <c:v>0.07745885941411298</c:v>
                </c:pt>
                <c:pt idx="3">
                  <c:v>0.09758068890068425</c:v>
                </c:pt>
                <c:pt idx="4">
                  <c:v>0.04811259365878859</c:v>
                </c:pt>
                <c:pt idx="5">
                  <c:v>-0.08689423899859978</c:v>
                </c:pt>
                <c:pt idx="6">
                  <c:v>0.013088875292341472</c:v>
                </c:pt>
                <c:pt idx="7">
                  <c:v>-0.0367938575320578</c:v>
                </c:pt>
                <c:pt idx="8">
                  <c:v>0.10385868802423674</c:v>
                </c:pt>
                <c:pt idx="9">
                  <c:v>-0.07867426320824425</c:v>
                </c:pt>
                <c:pt idx="10">
                  <c:v>0.08003982870397734</c:v>
                </c:pt>
                <c:pt idx="11">
                  <c:v>-0.05122874684985769</c:v>
                </c:pt>
                <c:pt idx="12">
                  <c:v>-0.17327172127403667</c:v>
                </c:pt>
                <c:pt idx="13">
                  <c:v>0.015085637418040735</c:v>
                </c:pt>
                <c:pt idx="14">
                  <c:v>0.09363786570171183</c:v>
                </c:pt>
                <c:pt idx="15">
                  <c:v>-0.029203177186047646</c:v>
                </c:pt>
                <c:pt idx="16">
                  <c:v>-0.0015587844639931602</c:v>
                </c:pt>
                <c:pt idx="17">
                  <c:v>0.007789582274829718</c:v>
                </c:pt>
                <c:pt idx="18">
                  <c:v>0.054302198032155156</c:v>
                </c:pt>
                <c:pt idx="19">
                  <c:v>-0.03132981865694396</c:v>
                </c:pt>
                <c:pt idx="20">
                  <c:v>0.026921869689510994</c:v>
                </c:pt>
                <c:pt idx="21">
                  <c:v>0.08748952981889774</c:v>
                </c:pt>
                <c:pt idx="22">
                  <c:v>0.15029829356816102</c:v>
                </c:pt>
                <c:pt idx="23">
                  <c:v>-0.040348931658863926</c:v>
                </c:pt>
                <c:pt idx="24">
                  <c:v>-0.002420369511992366</c:v>
                </c:pt>
                <c:pt idx="25">
                  <c:v>0.1210106153716951</c:v>
                </c:pt>
                <c:pt idx="26">
                  <c:v>-0.03501464045970389</c:v>
                </c:pt>
                <c:pt idx="27">
                  <c:v>0.11555694380985097</c:v>
                </c:pt>
                <c:pt idx="28">
                  <c:v>-0.001982917062175621</c:v>
                </c:pt>
                <c:pt idx="29">
                  <c:v>-0.02823413352331399</c:v>
                </c:pt>
                <c:pt idx="30">
                  <c:v>-0.029041045035858273</c:v>
                </c:pt>
                <c:pt idx="31">
                  <c:v>0.059258095621347914</c:v>
                </c:pt>
                <c:pt idx="32">
                  <c:v>0.12130135410021774</c:v>
                </c:pt>
                <c:pt idx="33">
                  <c:v>0.13923462224000263</c:v>
                </c:pt>
                <c:pt idx="34">
                  <c:v>0.03529376590056819</c:v>
                </c:pt>
                <c:pt idx="35">
                  <c:v>0.065005424845542</c:v>
                </c:pt>
                <c:pt idx="36">
                  <c:v>0.001379957228017149</c:v>
                </c:pt>
                <c:pt idx="37">
                  <c:v>0.021858793812499017</c:v>
                </c:pt>
                <c:pt idx="38">
                  <c:v>-0.021858793812499073</c:v>
                </c:pt>
                <c:pt idx="39">
                  <c:v>0.09982033528221099</c:v>
                </c:pt>
                <c:pt idx="40">
                  <c:v>-0.13782861246240558</c:v>
                </c:pt>
                <c:pt idx="41">
                  <c:v>0.007154847214458238</c:v>
                </c:pt>
                <c:pt idx="42">
                  <c:v>0.05271222377823551</c:v>
                </c:pt>
                <c:pt idx="43">
                  <c:v>0.06474660759419078</c:v>
                </c:pt>
                <c:pt idx="44">
                  <c:v>0.04398465314645467</c:v>
                </c:pt>
                <c:pt idx="45">
                  <c:v>0.09365432708905076</c:v>
                </c:pt>
                <c:pt idx="46">
                  <c:v>0.04742957898205423</c:v>
                </c:pt>
                <c:pt idx="47">
                  <c:v>0.011507391026578209</c:v>
                </c:pt>
                <c:pt idx="48">
                  <c:v>-0.018904764691906856</c:v>
                </c:pt>
                <c:pt idx="49">
                  <c:v>0.03848459231998009</c:v>
                </c:pt>
                <c:pt idx="50">
                  <c:v>0.07374499083207707</c:v>
                </c:pt>
                <c:pt idx="51">
                  <c:v>0.03994514517873474</c:v>
                </c:pt>
                <c:pt idx="52">
                  <c:v>0.1336494187900406</c:v>
                </c:pt>
                <c:pt idx="53">
                  <c:v>0.05200647336834543</c:v>
                </c:pt>
                <c:pt idx="54">
                  <c:v>0.21066293569023703</c:v>
                </c:pt>
                <c:pt idx="55">
                  <c:v>-0.045120435280469544</c:v>
                </c:pt>
                <c:pt idx="56">
                  <c:v>-0.06146523143998241</c:v>
                </c:pt>
                <c:pt idx="57">
                  <c:v>0.281527116216784</c:v>
                </c:pt>
                <c:pt idx="58">
                  <c:v>0.020367302824433733</c:v>
                </c:pt>
                <c:pt idx="59">
                  <c:v>0.018973694325839858</c:v>
                </c:pt>
                <c:pt idx="60">
                  <c:v>0.11216208918168385</c:v>
                </c:pt>
                <c:pt idx="61">
                  <c:v>-0.0671952233710676</c:v>
                </c:pt>
                <c:pt idx="62">
                  <c:v>0.000943667366814969</c:v>
                </c:pt>
                <c:pt idx="63">
                  <c:v>-0.017631342652725552</c:v>
                </c:pt>
                <c:pt idx="64">
                  <c:v>0.0847652666277098</c:v>
                </c:pt>
                <c:pt idx="65">
                  <c:v>-0.09055120369475375</c:v>
                </c:pt>
                <c:pt idx="66">
                  <c:v>0.14345606100773026</c:v>
                </c:pt>
                <c:pt idx="67">
                  <c:v>0.12764835242423628</c:v>
                </c:pt>
                <c:pt idx="68">
                  <c:v>0.05453287902025006</c:v>
                </c:pt>
                <c:pt idx="69">
                  <c:v>0.0069589703243035225</c:v>
                </c:pt>
                <c:pt idx="70">
                  <c:v>-0.060755837082201544</c:v>
                </c:pt>
                <c:pt idx="71">
                  <c:v>0.24515567657779438</c:v>
                </c:pt>
                <c:pt idx="72">
                  <c:v>0.01431549700438907</c:v>
                </c:pt>
                <c:pt idx="73">
                  <c:v>-0.13621495197884495</c:v>
                </c:pt>
                <c:pt idx="74">
                  <c:v>0.13734949755508863</c:v>
                </c:pt>
                <c:pt idx="75">
                  <c:v>-0.0387883247091202</c:v>
                </c:pt>
                <c:pt idx="76">
                  <c:v>0.1417618917610381</c:v>
                </c:pt>
                <c:pt idx="77">
                  <c:v>0.1282028770048122</c:v>
                </c:pt>
                <c:pt idx="78">
                  <c:v>0.23256205218544523</c:v>
                </c:pt>
                <c:pt idx="79">
                  <c:v>-0.1533176935233664</c:v>
                </c:pt>
                <c:pt idx="80">
                  <c:v>0.1773131990795821</c:v>
                </c:pt>
                <c:pt idx="81">
                  <c:v>-0.09733454264706044</c:v>
                </c:pt>
                <c:pt idx="82">
                  <c:v>-0.007716087665862747</c:v>
                </c:pt>
                <c:pt idx="83">
                  <c:v>0.11130716792722838</c:v>
                </c:pt>
                <c:pt idx="84">
                  <c:v>-0.04972615300589979</c:v>
                </c:pt>
                <c:pt idx="85">
                  <c:v>0.07571940849982771</c:v>
                </c:pt>
                <c:pt idx="86">
                  <c:v>-0.021843871947116438</c:v>
                </c:pt>
                <c:pt idx="87">
                  <c:v>0.02184387194711647</c:v>
                </c:pt>
                <c:pt idx="88">
                  <c:v>-0.01650933366081909</c:v>
                </c:pt>
                <c:pt idx="89">
                  <c:v>0.2486601381818082</c:v>
                </c:pt>
                <c:pt idx="90">
                  <c:v>-0.17634374223803953</c:v>
                </c:pt>
                <c:pt idx="91">
                  <c:v>-0.09085015329679548</c:v>
                </c:pt>
                <c:pt idx="92">
                  <c:v>0.17295380679035444</c:v>
                </c:pt>
                <c:pt idx="93">
                  <c:v>-0.42087738710305117</c:v>
                </c:pt>
                <c:pt idx="94">
                  <c:v>-0.1087513636260356</c:v>
                </c:pt>
                <c:pt idx="95">
                  <c:v>0.24586057759844226</c:v>
                </c:pt>
                <c:pt idx="96">
                  <c:v>-0.13621355784446212</c:v>
                </c:pt>
                <c:pt idx="97">
                  <c:v>0</c:v>
                </c:pt>
                <c:pt idx="98">
                  <c:v>-0.14627369773021476</c:v>
                </c:pt>
                <c:pt idx="99">
                  <c:v>0.1327538883738738</c:v>
                </c:pt>
              </c:numCache>
            </c:numRef>
          </c:yVal>
          <c:smooth val="0"/>
        </c:ser>
        <c:axId val="11259544"/>
        <c:axId val="34227033"/>
      </c:scatterChart>
      <c:valAx>
        <c:axId val="11259544"/>
        <c:scaling>
          <c:orientation val="minMax"/>
          <c:max val="0.27966705915226586"/>
          <c:min val="-0.47970108026206104"/>
        </c:scaling>
        <c:axPos val="b"/>
        <c:delete val="1"/>
        <c:majorTickMark val="out"/>
        <c:minorTickMark val="none"/>
        <c:tickLblPos val="nextTo"/>
        <c:crossAx val="34227033"/>
        <c:crosses val="autoZero"/>
        <c:crossBetween val="midCat"/>
        <c:dispUnits/>
      </c:valAx>
      <c:valAx>
        <c:axId val="34227033"/>
        <c:scaling>
          <c:orientation val="minMax"/>
          <c:max val="0.281527116216784"/>
          <c:min val="-0.42087738710305117"/>
        </c:scaling>
        <c:axPos val="l"/>
        <c:delete val="1"/>
        <c:majorTickMark val="out"/>
        <c:minorTickMark val="none"/>
        <c:tickLblPos val="nextTo"/>
        <c:crossAx val="11259544"/>
        <c:crosses val="autoZero"/>
        <c:crossBetween val="midCat"/>
        <c:dispUnits/>
      </c:valAx>
      <c:spPr>
        <a:noFill/>
        <a:ln>
          <a:no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607842"/>
        <c:axId val="20926259"/>
      </c:barChart>
      <c:catAx>
        <c:axId val="39607842"/>
        <c:scaling>
          <c:orientation val="minMax"/>
        </c:scaling>
        <c:axPos val="b"/>
        <c:delete val="0"/>
        <c:numFmt formatCode="General" sourceLinked="1"/>
        <c:majorTickMark val="out"/>
        <c:minorTickMark val="none"/>
        <c:tickLblPos val="nextTo"/>
        <c:crossAx val="20926259"/>
        <c:crosses val="autoZero"/>
        <c:auto val="1"/>
        <c:lblOffset val="100"/>
        <c:noMultiLvlLbl val="0"/>
      </c:catAx>
      <c:valAx>
        <c:axId val="20926259"/>
        <c:scaling>
          <c:orientation val="minMax"/>
        </c:scaling>
        <c:axPos val="l"/>
        <c:majorGridlines/>
        <c:delete val="0"/>
        <c:numFmt formatCode="General" sourceLinked="1"/>
        <c:majorTickMark val="out"/>
        <c:minorTickMark val="none"/>
        <c:tickLblPos val="nextTo"/>
        <c:crossAx val="396078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7</xdr:col>
      <xdr:colOff>190500</xdr:colOff>
      <xdr:row>16</xdr:row>
      <xdr:rowOff>142875</xdr:rowOff>
    </xdr:to>
    <xdr:graphicFrame>
      <xdr:nvGraphicFramePr>
        <xdr:cNvPr id="1" name="Chart 1"/>
        <xdr:cNvGraphicFramePr/>
      </xdr:nvGraphicFramePr>
      <xdr:xfrm>
        <a:off x="647700" y="200025"/>
        <a:ext cx="3810000" cy="25336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xdr:row>
      <xdr:rowOff>38100</xdr:rowOff>
    </xdr:from>
    <xdr:to>
      <xdr:col>14</xdr:col>
      <xdr:colOff>190500</xdr:colOff>
      <xdr:row>16</xdr:row>
      <xdr:rowOff>142875</xdr:rowOff>
    </xdr:to>
    <xdr:graphicFrame>
      <xdr:nvGraphicFramePr>
        <xdr:cNvPr id="2" name="Chart 4"/>
        <xdr:cNvGraphicFramePr/>
      </xdr:nvGraphicFramePr>
      <xdr:xfrm>
        <a:off x="4914900" y="200025"/>
        <a:ext cx="3810000" cy="2533650"/>
      </xdr:xfrm>
      <a:graphic>
        <a:graphicData uri="http://schemas.openxmlformats.org/drawingml/2006/chart">
          <c:chart xmlns:c="http://schemas.openxmlformats.org/drawingml/2006/chart" r:id="rId2"/>
        </a:graphicData>
      </a:graphic>
    </xdr:graphicFrame>
    <xdr:clientData/>
  </xdr:twoCellAnchor>
  <xdr:twoCellAnchor>
    <xdr:from>
      <xdr:col>15</xdr:col>
      <xdr:colOff>38100</xdr:colOff>
      <xdr:row>1</xdr:row>
      <xdr:rowOff>38100</xdr:rowOff>
    </xdr:from>
    <xdr:to>
      <xdr:col>21</xdr:col>
      <xdr:colOff>190500</xdr:colOff>
      <xdr:row>16</xdr:row>
      <xdr:rowOff>142875</xdr:rowOff>
    </xdr:to>
    <xdr:graphicFrame>
      <xdr:nvGraphicFramePr>
        <xdr:cNvPr id="3" name="Chart 5"/>
        <xdr:cNvGraphicFramePr/>
      </xdr:nvGraphicFramePr>
      <xdr:xfrm>
        <a:off x="9182100" y="200025"/>
        <a:ext cx="3810000" cy="2533650"/>
      </xdr:xfrm>
      <a:graphic>
        <a:graphicData uri="http://schemas.openxmlformats.org/drawingml/2006/chart">
          <c:chart xmlns:c="http://schemas.openxmlformats.org/drawingml/2006/chart" r:id="rId3"/>
        </a:graphicData>
      </a:graphic>
    </xdr:graphicFrame>
    <xdr:clientData/>
  </xdr:twoCellAnchor>
  <xdr:twoCellAnchor>
    <xdr:from>
      <xdr:col>22</xdr:col>
      <xdr:colOff>38100</xdr:colOff>
      <xdr:row>1</xdr:row>
      <xdr:rowOff>38100</xdr:rowOff>
    </xdr:from>
    <xdr:to>
      <xdr:col>28</xdr:col>
      <xdr:colOff>190500</xdr:colOff>
      <xdr:row>16</xdr:row>
      <xdr:rowOff>142875</xdr:rowOff>
    </xdr:to>
    <xdr:graphicFrame>
      <xdr:nvGraphicFramePr>
        <xdr:cNvPr id="4" name="Chart 6"/>
        <xdr:cNvGraphicFramePr/>
      </xdr:nvGraphicFramePr>
      <xdr:xfrm>
        <a:off x="13449300" y="200025"/>
        <a:ext cx="3810000" cy="2533650"/>
      </xdr:xfrm>
      <a:graphic>
        <a:graphicData uri="http://schemas.openxmlformats.org/drawingml/2006/chart">
          <c:chart xmlns:c="http://schemas.openxmlformats.org/drawingml/2006/chart" r:id="rId4"/>
        </a:graphicData>
      </a:graphic>
    </xdr:graphicFrame>
    <xdr:clientData/>
  </xdr:twoCellAnchor>
  <xdr:twoCellAnchor>
    <xdr:from>
      <xdr:col>0</xdr:col>
      <xdr:colOff>600075</xdr:colOff>
      <xdr:row>19</xdr:row>
      <xdr:rowOff>9525</xdr:rowOff>
    </xdr:from>
    <xdr:to>
      <xdr:col>9</xdr:col>
      <xdr:colOff>47625</xdr:colOff>
      <xdr:row>21</xdr:row>
      <xdr:rowOff>19050</xdr:rowOff>
    </xdr:to>
    <xdr:sp>
      <xdr:nvSpPr>
        <xdr:cNvPr id="5" name="TextBox 7"/>
        <xdr:cNvSpPr txBox="1">
          <a:spLocks noChangeArrowheads="1"/>
        </xdr:cNvSpPr>
      </xdr:nvSpPr>
      <xdr:spPr>
        <a:xfrm>
          <a:off x="600075" y="3086100"/>
          <a:ext cx="49339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Above histograms are computed using StatPlus/Single Variable Charts/Histograms</a:t>
          </a:r>
        </a:p>
      </xdr:txBody>
    </xdr:sp>
    <xdr:clientData/>
  </xdr:twoCellAnchor>
  <xdr:twoCellAnchor>
    <xdr:from>
      <xdr:col>1</xdr:col>
      <xdr:colOff>38100</xdr:colOff>
      <xdr:row>23</xdr:row>
      <xdr:rowOff>38100</xdr:rowOff>
    </xdr:from>
    <xdr:to>
      <xdr:col>5</xdr:col>
      <xdr:colOff>495300</xdr:colOff>
      <xdr:row>29</xdr:row>
      <xdr:rowOff>66675</xdr:rowOff>
    </xdr:to>
    <xdr:graphicFrame>
      <xdr:nvGraphicFramePr>
        <xdr:cNvPr id="6" name="Chart 8"/>
        <xdr:cNvGraphicFramePr/>
      </xdr:nvGraphicFramePr>
      <xdr:xfrm>
        <a:off x="647700" y="3762375"/>
        <a:ext cx="2895600" cy="1000125"/>
      </xdr:xfrm>
      <a:graphic>
        <a:graphicData uri="http://schemas.openxmlformats.org/drawingml/2006/chart">
          <c:chart xmlns:c="http://schemas.openxmlformats.org/drawingml/2006/chart" r:id="rId5"/>
        </a:graphicData>
      </a:graphic>
    </xdr:graphicFrame>
    <xdr:clientData/>
  </xdr:twoCellAnchor>
  <xdr:twoCellAnchor>
    <xdr:from>
      <xdr:col>1</xdr:col>
      <xdr:colOff>38100</xdr:colOff>
      <xdr:row>29</xdr:row>
      <xdr:rowOff>66675</xdr:rowOff>
    </xdr:from>
    <xdr:to>
      <xdr:col>5</xdr:col>
      <xdr:colOff>495300</xdr:colOff>
      <xdr:row>35</xdr:row>
      <xdr:rowOff>95250</xdr:rowOff>
    </xdr:to>
    <xdr:graphicFrame>
      <xdr:nvGraphicFramePr>
        <xdr:cNvPr id="7" name="Chart 9"/>
        <xdr:cNvGraphicFramePr/>
      </xdr:nvGraphicFramePr>
      <xdr:xfrm>
        <a:off x="647700" y="4762500"/>
        <a:ext cx="2895600" cy="100012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xdr:row>
      <xdr:rowOff>95250</xdr:rowOff>
    </xdr:from>
    <xdr:to>
      <xdr:col>5</xdr:col>
      <xdr:colOff>495300</xdr:colOff>
      <xdr:row>41</xdr:row>
      <xdr:rowOff>133350</xdr:rowOff>
    </xdr:to>
    <xdr:graphicFrame>
      <xdr:nvGraphicFramePr>
        <xdr:cNvPr id="8" name="Chart 10"/>
        <xdr:cNvGraphicFramePr/>
      </xdr:nvGraphicFramePr>
      <xdr:xfrm>
        <a:off x="647700" y="5762625"/>
        <a:ext cx="2895600" cy="100965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41</xdr:row>
      <xdr:rowOff>133350</xdr:rowOff>
    </xdr:from>
    <xdr:to>
      <xdr:col>5</xdr:col>
      <xdr:colOff>495300</xdr:colOff>
      <xdr:row>50</xdr:row>
      <xdr:rowOff>85725</xdr:rowOff>
    </xdr:to>
    <xdr:graphicFrame>
      <xdr:nvGraphicFramePr>
        <xdr:cNvPr id="9" name="Chart 11"/>
        <xdr:cNvGraphicFramePr/>
      </xdr:nvGraphicFramePr>
      <xdr:xfrm>
        <a:off x="647700" y="6772275"/>
        <a:ext cx="2895600" cy="1409700"/>
      </xdr:xfrm>
      <a:graphic>
        <a:graphicData uri="http://schemas.openxmlformats.org/drawingml/2006/chart">
          <c:chart xmlns:c="http://schemas.openxmlformats.org/drawingml/2006/chart" r:id="rId8"/>
        </a:graphicData>
      </a:graphic>
    </xdr:graphicFrame>
    <xdr:clientData/>
  </xdr:twoCellAnchor>
  <xdr:twoCellAnchor>
    <xdr:from>
      <xdr:col>6</xdr:col>
      <xdr:colOff>352425</xdr:colOff>
      <xdr:row>24</xdr:row>
      <xdr:rowOff>0</xdr:rowOff>
    </xdr:from>
    <xdr:to>
      <xdr:col>11</xdr:col>
      <xdr:colOff>57150</xdr:colOff>
      <xdr:row>28</xdr:row>
      <xdr:rowOff>47625</xdr:rowOff>
    </xdr:to>
    <xdr:sp>
      <xdr:nvSpPr>
        <xdr:cNvPr id="10" name="TextBox 12"/>
        <xdr:cNvSpPr txBox="1">
          <a:spLocks noChangeArrowheads="1"/>
        </xdr:cNvSpPr>
      </xdr:nvSpPr>
      <xdr:spPr>
        <a:xfrm>
          <a:off x="4010025" y="3886200"/>
          <a:ext cx="27527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Multiple histograms on the same scale are computed using StatPlus/Mult-Variable Charts/Multiple Histograms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105</xdr:row>
      <xdr:rowOff>38100</xdr:rowOff>
    </xdr:from>
    <xdr:to>
      <xdr:col>31</xdr:col>
      <xdr:colOff>371475</xdr:colOff>
      <xdr:row>116</xdr:row>
      <xdr:rowOff>57150</xdr:rowOff>
    </xdr:to>
    <xdr:graphicFrame>
      <xdr:nvGraphicFramePr>
        <xdr:cNvPr id="1" name="Chart 9"/>
        <xdr:cNvGraphicFramePr/>
      </xdr:nvGraphicFramePr>
      <xdr:xfrm>
        <a:off x="16849725" y="20059650"/>
        <a:ext cx="3810000" cy="2114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9</xdr:col>
      <xdr:colOff>561975</xdr:colOff>
      <xdr:row>23</xdr:row>
      <xdr:rowOff>142875</xdr:rowOff>
    </xdr:to>
    <xdr:graphicFrame>
      <xdr:nvGraphicFramePr>
        <xdr:cNvPr id="1" name="Chart 1"/>
        <xdr:cNvGraphicFramePr/>
      </xdr:nvGraphicFramePr>
      <xdr:xfrm>
        <a:off x="647700" y="200025"/>
        <a:ext cx="5400675" cy="36671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24</xdr:row>
      <xdr:rowOff>123825</xdr:rowOff>
    </xdr:from>
    <xdr:to>
      <xdr:col>7</xdr:col>
      <xdr:colOff>285750</xdr:colOff>
      <xdr:row>27</xdr:row>
      <xdr:rowOff>0</xdr:rowOff>
    </xdr:to>
    <xdr:sp>
      <xdr:nvSpPr>
        <xdr:cNvPr id="2" name="TextBox 2"/>
        <xdr:cNvSpPr txBox="1">
          <a:spLocks noChangeArrowheads="1"/>
        </xdr:cNvSpPr>
      </xdr:nvSpPr>
      <xdr:spPr>
        <a:xfrm>
          <a:off x="695325" y="4010025"/>
          <a:ext cx="38576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Boxplots are created using StatPlus/Single Variable Charts/Boxplots</a:t>
          </a:r>
        </a:p>
      </xdr:txBody>
    </xdr:sp>
    <xdr:clientData/>
  </xdr:twoCellAnchor>
  <xdr:twoCellAnchor>
    <xdr:from>
      <xdr:col>10</xdr:col>
      <xdr:colOff>238125</xdr:colOff>
      <xdr:row>1</xdr:row>
      <xdr:rowOff>114300</xdr:rowOff>
    </xdr:from>
    <xdr:to>
      <xdr:col>15</xdr:col>
      <xdr:colOff>114300</xdr:colOff>
      <xdr:row>15</xdr:row>
      <xdr:rowOff>142875</xdr:rowOff>
    </xdr:to>
    <xdr:sp>
      <xdr:nvSpPr>
        <xdr:cNvPr id="3" name="TextBox 3"/>
        <xdr:cNvSpPr txBox="1">
          <a:spLocks noChangeArrowheads="1"/>
        </xdr:cNvSpPr>
      </xdr:nvSpPr>
      <xdr:spPr>
        <a:xfrm>
          <a:off x="6334125" y="276225"/>
          <a:ext cx="2924175"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distributions for MSFT and SBUX are very similar. The medians are similar and the IQR values are similar. Both have an extreme negative outlier. SBUX has more moderate negative outliers than MSFT. The distribution for the S&amp;P 500 is much more compact than the distributions for MSFT and SBUX - notice how much smaller is the IQR for SP500. Also, there is only one negative moderate outlier. 
The fact that the S&amp;P 500 index is a diversified portfolio of 500 assets and MSFT and SBUX are single assets explains the differences in the distributions.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cdr:x>
      <cdr:y>0.25525</cdr:y>
    </cdr:from>
    <cdr:to>
      <cdr:x>0.86475</cdr:x>
      <cdr:y>0.77</cdr:y>
    </cdr:to>
    <cdr:sp>
      <cdr:nvSpPr>
        <cdr:cNvPr id="1" name="Text 1"/>
        <cdr:cNvSpPr txBox="1">
          <a:spLocks noChangeArrowheads="1"/>
        </cdr:cNvSpPr>
      </cdr:nvSpPr>
      <cdr:spPr>
        <a:xfrm>
          <a:off x="161925" y="304800"/>
          <a:ext cx="1114425" cy="628650"/>
        </a:xfrm>
        <a:prstGeom prst="rect">
          <a:avLst/>
        </a:prstGeom>
        <a:noFill/>
        <a:ln w="1" cmpd="sng">
          <a:noFill/>
        </a:ln>
      </cdr:spPr>
      <cdr:txBody>
        <a:bodyPr vertOverflow="clip" wrap="square"/>
        <a:p>
          <a:pPr algn="l">
            <a:defRPr/>
          </a:pPr>
          <a:r>
            <a:rPr lang="en-US" cap="none" sz="1200" b="0" i="0" u="none" baseline="0">
              <a:latin typeface="Arial"/>
              <a:ea typeface="Arial"/>
              <a:cs typeface="Arial"/>
            </a:rPr>
            <a:t>rmsft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0.1125</cdr:x>
      <cdr:y>0.2545</cdr:y>
    </cdr:from>
    <cdr:to>
      <cdr:x>0.864</cdr:x>
      <cdr:y>0.77025</cdr:y>
    </cdr:to>
    <cdr:sp>
      <cdr:nvSpPr>
        <cdr:cNvPr id="1" name="Text 1"/>
        <cdr:cNvSpPr txBox="1">
          <a:spLocks noChangeArrowheads="1"/>
        </cdr:cNvSpPr>
      </cdr:nvSpPr>
      <cdr:spPr>
        <a:xfrm>
          <a:off x="161925" y="304800"/>
          <a:ext cx="1114425" cy="638175"/>
        </a:xfrm>
        <a:prstGeom prst="rect">
          <a:avLst/>
        </a:prstGeom>
        <a:noFill/>
        <a:ln w="1" cmpd="sng">
          <a:noFill/>
        </a:ln>
      </cdr:spPr>
      <cdr:txBody>
        <a:bodyPr vertOverflow="clip" wrap="square"/>
        <a:p>
          <a:pPr algn="l">
            <a:defRPr/>
          </a:pPr>
          <a:r>
            <a:rPr lang="en-US" cap="none" sz="1200" b="0" i="0" u="none" baseline="0">
              <a:latin typeface="Arial"/>
              <a:ea typeface="Arial"/>
              <a:cs typeface="Arial"/>
            </a:rPr>
            <a:t>rsbux</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cdr:x>
      <cdr:y>0.25525</cdr:y>
    </cdr:from>
    <cdr:to>
      <cdr:x>0.86475</cdr:x>
      <cdr:y>0.77</cdr:y>
    </cdr:to>
    <cdr:sp>
      <cdr:nvSpPr>
        <cdr:cNvPr id="1" name="Text 1"/>
        <cdr:cNvSpPr txBox="1">
          <a:spLocks noChangeArrowheads="1"/>
        </cdr:cNvSpPr>
      </cdr:nvSpPr>
      <cdr:spPr>
        <a:xfrm>
          <a:off x="161925" y="304800"/>
          <a:ext cx="1114425" cy="628650"/>
        </a:xfrm>
        <a:prstGeom prst="rect">
          <a:avLst/>
        </a:prstGeom>
        <a:noFill/>
        <a:ln w="1" cmpd="sng">
          <a:noFill/>
        </a:ln>
      </cdr:spPr>
      <cdr:txBody>
        <a:bodyPr vertOverflow="clip" wrap="square"/>
        <a:p>
          <a:pPr algn="l">
            <a:defRPr/>
          </a:pPr>
          <a:r>
            <a:rPr lang="en-US" cap="none" sz="1200" b="0" i="0" u="none" baseline="0">
              <a:latin typeface="Arial"/>
              <a:ea typeface="Arial"/>
              <a:cs typeface="Arial"/>
            </a:rPr>
            <a:t>rsp500</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0.1125</cdr:x>
      <cdr:y>0.25525</cdr:y>
    </cdr:from>
    <cdr:to>
      <cdr:x>0.864</cdr:x>
      <cdr:y>0.77</cdr:y>
    </cdr:to>
    <cdr:sp>
      <cdr:nvSpPr>
        <cdr:cNvPr id="1" name="Text 1"/>
        <cdr:cNvSpPr txBox="1">
          <a:spLocks noChangeArrowheads="1"/>
        </cdr:cNvSpPr>
      </cdr:nvSpPr>
      <cdr:spPr>
        <a:xfrm>
          <a:off x="161925" y="304800"/>
          <a:ext cx="1114425" cy="628650"/>
        </a:xfrm>
        <a:prstGeom prst="rect">
          <a:avLst/>
        </a:prstGeom>
        <a:noFill/>
        <a:ln w="1" cmpd="sng">
          <a:noFill/>
        </a:ln>
      </cdr:spPr>
      <cdr:txBody>
        <a:bodyPr vertOverflow="clip" wrap="square"/>
        <a:p>
          <a:pPr algn="l">
            <a:defRPr/>
          </a:pPr>
          <a:r>
            <a:rPr lang="en-US" cap="none" sz="1200" b="0" i="0" u="none" baseline="0">
              <a:latin typeface="Arial"/>
              <a:ea typeface="Arial"/>
              <a:cs typeface="Arial"/>
            </a:rPr>
            <a:t>tbill</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133350</xdr:rowOff>
    </xdr:from>
    <xdr:to>
      <xdr:col>10</xdr:col>
      <xdr:colOff>495300</xdr:colOff>
      <xdr:row>64</xdr:row>
      <xdr:rowOff>38100</xdr:rowOff>
    </xdr:to>
    <xdr:grpSp>
      <xdr:nvGrpSpPr>
        <xdr:cNvPr id="1" name="Group 17"/>
        <xdr:cNvGrpSpPr>
          <a:grpSpLocks/>
        </xdr:cNvGrpSpPr>
      </xdr:nvGrpSpPr>
      <xdr:grpSpPr>
        <a:xfrm>
          <a:off x="666750" y="5514975"/>
          <a:ext cx="5924550" cy="4924425"/>
          <a:chOff x="68" y="21"/>
          <a:chExt cx="436" cy="388"/>
        </a:xfrm>
        <a:solidFill>
          <a:srgbClr val="FFFFFF"/>
        </a:solidFill>
      </xdr:grpSpPr>
      <xdr:graphicFrame>
        <xdr:nvGraphicFramePr>
          <xdr:cNvPr id="2" name="Chart 1"/>
          <xdr:cNvGraphicFramePr/>
        </xdr:nvGraphicFramePr>
        <xdr:xfrm>
          <a:off x="68" y="21"/>
          <a:ext cx="109" cy="97"/>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68" y="118"/>
          <a:ext cx="109" cy="97"/>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8" y="215"/>
          <a:ext cx="109" cy="97"/>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68" y="312"/>
          <a:ext cx="109" cy="97"/>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177" y="21"/>
          <a:ext cx="109" cy="97"/>
        </xdr:xfrm>
        <a:graphic>
          <a:graphicData uri="http://schemas.openxmlformats.org/drawingml/2006/chart">
            <c:chart xmlns:c="http://schemas.openxmlformats.org/drawingml/2006/chart" r:id="rId5"/>
          </a:graphicData>
        </a:graphic>
      </xdr:graphicFrame>
      <xdr:graphicFrame>
        <xdr:nvGraphicFramePr>
          <xdr:cNvPr id="7" name="Chart 6"/>
          <xdr:cNvGraphicFramePr/>
        </xdr:nvGraphicFramePr>
        <xdr:xfrm>
          <a:off x="177" y="118"/>
          <a:ext cx="109" cy="97"/>
        </xdr:xfrm>
        <a:graphic>
          <a:graphicData uri="http://schemas.openxmlformats.org/drawingml/2006/chart">
            <c:chart xmlns:c="http://schemas.openxmlformats.org/drawingml/2006/chart" r:id="rId6"/>
          </a:graphicData>
        </a:graphic>
      </xdr:graphicFrame>
      <xdr:graphicFrame>
        <xdr:nvGraphicFramePr>
          <xdr:cNvPr id="8" name="Chart 7"/>
          <xdr:cNvGraphicFramePr/>
        </xdr:nvGraphicFramePr>
        <xdr:xfrm>
          <a:off x="177" y="215"/>
          <a:ext cx="109" cy="97"/>
        </xdr:xfrm>
        <a:graphic>
          <a:graphicData uri="http://schemas.openxmlformats.org/drawingml/2006/chart">
            <c:chart xmlns:c="http://schemas.openxmlformats.org/drawingml/2006/chart" r:id="rId7"/>
          </a:graphicData>
        </a:graphic>
      </xdr:graphicFrame>
      <xdr:graphicFrame>
        <xdr:nvGraphicFramePr>
          <xdr:cNvPr id="9" name="Chart 8"/>
          <xdr:cNvGraphicFramePr/>
        </xdr:nvGraphicFramePr>
        <xdr:xfrm>
          <a:off x="177" y="312"/>
          <a:ext cx="109" cy="97"/>
        </xdr:xfrm>
        <a:graphic>
          <a:graphicData uri="http://schemas.openxmlformats.org/drawingml/2006/chart">
            <c:chart xmlns:c="http://schemas.openxmlformats.org/drawingml/2006/chart" r:id="rId8"/>
          </a:graphicData>
        </a:graphic>
      </xdr:graphicFrame>
      <xdr:graphicFrame>
        <xdr:nvGraphicFramePr>
          <xdr:cNvPr id="10" name="Chart 9"/>
          <xdr:cNvGraphicFramePr/>
        </xdr:nvGraphicFramePr>
        <xdr:xfrm>
          <a:off x="286" y="21"/>
          <a:ext cx="109" cy="97"/>
        </xdr:xfrm>
        <a:graphic>
          <a:graphicData uri="http://schemas.openxmlformats.org/drawingml/2006/chart">
            <c:chart xmlns:c="http://schemas.openxmlformats.org/drawingml/2006/chart" r:id="rId9"/>
          </a:graphicData>
        </a:graphic>
      </xdr:graphicFrame>
      <xdr:graphicFrame>
        <xdr:nvGraphicFramePr>
          <xdr:cNvPr id="11" name="Chart 10"/>
          <xdr:cNvGraphicFramePr/>
        </xdr:nvGraphicFramePr>
        <xdr:xfrm>
          <a:off x="286" y="118"/>
          <a:ext cx="109" cy="97"/>
        </xdr:xfrm>
        <a:graphic>
          <a:graphicData uri="http://schemas.openxmlformats.org/drawingml/2006/chart">
            <c:chart xmlns:c="http://schemas.openxmlformats.org/drawingml/2006/chart" r:id="rId10"/>
          </a:graphicData>
        </a:graphic>
      </xdr:graphicFrame>
      <xdr:graphicFrame>
        <xdr:nvGraphicFramePr>
          <xdr:cNvPr id="12" name="Chart 11"/>
          <xdr:cNvGraphicFramePr/>
        </xdr:nvGraphicFramePr>
        <xdr:xfrm>
          <a:off x="286" y="215"/>
          <a:ext cx="109" cy="97"/>
        </xdr:xfrm>
        <a:graphic>
          <a:graphicData uri="http://schemas.openxmlformats.org/drawingml/2006/chart">
            <c:chart xmlns:c="http://schemas.openxmlformats.org/drawingml/2006/chart" r:id="rId11"/>
          </a:graphicData>
        </a:graphic>
      </xdr:graphicFrame>
      <xdr:graphicFrame>
        <xdr:nvGraphicFramePr>
          <xdr:cNvPr id="13" name="Chart 12"/>
          <xdr:cNvGraphicFramePr/>
        </xdr:nvGraphicFramePr>
        <xdr:xfrm>
          <a:off x="286" y="312"/>
          <a:ext cx="109" cy="97"/>
        </xdr:xfrm>
        <a:graphic>
          <a:graphicData uri="http://schemas.openxmlformats.org/drawingml/2006/chart">
            <c:chart xmlns:c="http://schemas.openxmlformats.org/drawingml/2006/chart" r:id="rId12"/>
          </a:graphicData>
        </a:graphic>
      </xdr:graphicFrame>
      <xdr:graphicFrame>
        <xdr:nvGraphicFramePr>
          <xdr:cNvPr id="14" name="Chart 13"/>
          <xdr:cNvGraphicFramePr/>
        </xdr:nvGraphicFramePr>
        <xdr:xfrm>
          <a:off x="395" y="21"/>
          <a:ext cx="109" cy="97"/>
        </xdr:xfrm>
        <a:graphic>
          <a:graphicData uri="http://schemas.openxmlformats.org/drawingml/2006/chart">
            <c:chart xmlns:c="http://schemas.openxmlformats.org/drawingml/2006/chart" r:id="rId13"/>
          </a:graphicData>
        </a:graphic>
      </xdr:graphicFrame>
      <xdr:graphicFrame>
        <xdr:nvGraphicFramePr>
          <xdr:cNvPr id="15" name="Chart 14"/>
          <xdr:cNvGraphicFramePr/>
        </xdr:nvGraphicFramePr>
        <xdr:xfrm>
          <a:off x="395" y="118"/>
          <a:ext cx="109" cy="97"/>
        </xdr:xfrm>
        <a:graphic>
          <a:graphicData uri="http://schemas.openxmlformats.org/drawingml/2006/chart">
            <c:chart xmlns:c="http://schemas.openxmlformats.org/drawingml/2006/chart" r:id="rId14"/>
          </a:graphicData>
        </a:graphic>
      </xdr:graphicFrame>
      <xdr:graphicFrame>
        <xdr:nvGraphicFramePr>
          <xdr:cNvPr id="16" name="Chart 15"/>
          <xdr:cNvGraphicFramePr/>
        </xdr:nvGraphicFramePr>
        <xdr:xfrm>
          <a:off x="395" y="215"/>
          <a:ext cx="109" cy="97"/>
        </xdr:xfrm>
        <a:graphic>
          <a:graphicData uri="http://schemas.openxmlformats.org/drawingml/2006/chart">
            <c:chart xmlns:c="http://schemas.openxmlformats.org/drawingml/2006/chart" r:id="rId15"/>
          </a:graphicData>
        </a:graphic>
      </xdr:graphicFrame>
      <xdr:graphicFrame>
        <xdr:nvGraphicFramePr>
          <xdr:cNvPr id="17" name="Chart 16"/>
          <xdr:cNvGraphicFramePr/>
        </xdr:nvGraphicFramePr>
        <xdr:xfrm>
          <a:off x="395" y="312"/>
          <a:ext cx="109" cy="97"/>
        </xdr:xfrm>
        <a:graphic>
          <a:graphicData uri="http://schemas.openxmlformats.org/drawingml/2006/chart">
            <c:chart xmlns:c="http://schemas.openxmlformats.org/drawingml/2006/chart" r:id="rId16"/>
          </a:graphicData>
        </a:graphic>
      </xdr:graphicFrame>
    </xdr:grpSp>
    <xdr:clientData/>
  </xdr:twoCellAnchor>
  <xdr:twoCellAnchor>
    <xdr:from>
      <xdr:col>1</xdr:col>
      <xdr:colOff>38100</xdr:colOff>
      <xdr:row>1</xdr:row>
      <xdr:rowOff>38100</xdr:rowOff>
    </xdr:from>
    <xdr:to>
      <xdr:col>11</xdr:col>
      <xdr:colOff>438150</xdr:colOff>
      <xdr:row>25</xdr:row>
      <xdr:rowOff>19050</xdr:rowOff>
    </xdr:to>
    <xdr:graphicFrame>
      <xdr:nvGraphicFramePr>
        <xdr:cNvPr id="18" name="Chart 18"/>
        <xdr:cNvGraphicFramePr/>
      </xdr:nvGraphicFramePr>
      <xdr:xfrm>
        <a:off x="647700" y="200025"/>
        <a:ext cx="6496050" cy="39052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4</xdr:row>
      <xdr:rowOff>38100</xdr:rowOff>
    </xdr:from>
    <xdr:to>
      <xdr:col>13</xdr:col>
      <xdr:colOff>276225</xdr:colOff>
      <xdr:row>6</xdr:row>
      <xdr:rowOff>0</xdr:rowOff>
    </xdr:to>
    <xdr:sp>
      <xdr:nvSpPr>
        <xdr:cNvPr id="19" name="Line 20"/>
        <xdr:cNvSpPr>
          <a:spLocks/>
        </xdr:cNvSpPr>
      </xdr:nvSpPr>
      <xdr:spPr>
        <a:xfrm flipV="1">
          <a:off x="7924800" y="723900"/>
          <a:ext cx="2762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11</xdr:row>
      <xdr:rowOff>38100</xdr:rowOff>
    </xdr:from>
    <xdr:to>
      <xdr:col>15</xdr:col>
      <xdr:colOff>457200</xdr:colOff>
      <xdr:row>22</xdr:row>
      <xdr:rowOff>28575</xdr:rowOff>
    </xdr:to>
    <xdr:sp>
      <xdr:nvSpPr>
        <xdr:cNvPr id="20" name="TextBox 21"/>
        <xdr:cNvSpPr txBox="1">
          <a:spLocks noChangeArrowheads="1"/>
        </xdr:cNvSpPr>
      </xdr:nvSpPr>
      <xdr:spPr>
        <a:xfrm>
          <a:off x="7334250" y="1857375"/>
          <a:ext cx="22669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sample covariance is positive indicating a positive linear relationship between msft and sbux. The magnitude of sxy is not informative about the strength of the relationship. The correlation is 0.27 which indicates a weak positive linear relationship. Notice the use of named ranges in the Excel formulas.</a:t>
          </a:r>
        </a:p>
      </xdr:txBody>
    </xdr:sp>
    <xdr:clientData/>
  </xdr:twoCellAnchor>
  <xdr:twoCellAnchor>
    <xdr:from>
      <xdr:col>15</xdr:col>
      <xdr:colOff>28575</xdr:colOff>
      <xdr:row>4</xdr:row>
      <xdr:rowOff>57150</xdr:rowOff>
    </xdr:from>
    <xdr:to>
      <xdr:col>15</xdr:col>
      <xdr:colOff>400050</xdr:colOff>
      <xdr:row>5</xdr:row>
      <xdr:rowOff>19050</xdr:rowOff>
    </xdr:to>
    <xdr:sp>
      <xdr:nvSpPr>
        <xdr:cNvPr id="21" name="Line 23"/>
        <xdr:cNvSpPr>
          <a:spLocks/>
        </xdr:cNvSpPr>
      </xdr:nvSpPr>
      <xdr:spPr>
        <a:xfrm flipH="1" flipV="1">
          <a:off x="9172575" y="7429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26</xdr:row>
      <xdr:rowOff>57150</xdr:rowOff>
    </xdr:from>
    <xdr:to>
      <xdr:col>5</xdr:col>
      <xdr:colOff>581025</xdr:colOff>
      <xdr:row>29</xdr:row>
      <xdr:rowOff>133350</xdr:rowOff>
    </xdr:to>
    <xdr:sp>
      <xdr:nvSpPr>
        <xdr:cNvPr id="22" name="TextBox 24"/>
        <xdr:cNvSpPr txBox="1">
          <a:spLocks noChangeArrowheads="1"/>
        </xdr:cNvSpPr>
      </xdr:nvSpPr>
      <xdr:spPr>
        <a:xfrm>
          <a:off x="723900" y="4305300"/>
          <a:ext cx="29051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above graph is created using StatPlus/Single Variable Charts, Fast Scatterplot. You can also use Chart Wizard/XY Scatter.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6470</xdr:row>
      <xdr:rowOff>9525</xdr:rowOff>
    </xdr:to>
    <xdr:graphicFrame>
      <xdr:nvGraphicFramePr>
        <xdr:cNvPr id="1" name="Chart 1"/>
        <xdr:cNvGraphicFramePr/>
      </xdr:nvGraphicFramePr>
      <xdr:xfrm>
        <a:off x="0" y="0"/>
        <a:ext cx="9525" cy="1047664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xdr:row>
      <xdr:rowOff>38100</xdr:rowOff>
    </xdr:from>
    <xdr:to>
      <xdr:col>7</xdr:col>
      <xdr:colOff>190500</xdr:colOff>
      <xdr:row>16</xdr:row>
      <xdr:rowOff>142875</xdr:rowOff>
    </xdr:to>
    <xdr:graphicFrame>
      <xdr:nvGraphicFramePr>
        <xdr:cNvPr id="2" name="Chart 2"/>
        <xdr:cNvGraphicFramePr/>
      </xdr:nvGraphicFramePr>
      <xdr:xfrm>
        <a:off x="647700" y="200025"/>
        <a:ext cx="5057775" cy="2533650"/>
      </xdr:xfrm>
      <a:graphic>
        <a:graphicData uri="http://schemas.openxmlformats.org/drawingml/2006/chart">
          <c:chart xmlns:c="http://schemas.openxmlformats.org/drawingml/2006/chart" r:id="rId2"/>
        </a:graphicData>
      </a:graphic>
    </xdr:graphicFrame>
    <xdr:clientData/>
  </xdr:twoCellAnchor>
  <xdr:twoCellAnchor>
    <xdr:from>
      <xdr:col>11</xdr:col>
      <xdr:colOff>38100</xdr:colOff>
      <xdr:row>3</xdr:row>
      <xdr:rowOff>133350</xdr:rowOff>
    </xdr:from>
    <xdr:to>
      <xdr:col>12</xdr:col>
      <xdr:colOff>57150</xdr:colOff>
      <xdr:row>5</xdr:row>
      <xdr:rowOff>66675</xdr:rowOff>
    </xdr:to>
    <xdr:sp>
      <xdr:nvSpPr>
        <xdr:cNvPr id="3" name="Line 4"/>
        <xdr:cNvSpPr>
          <a:spLocks/>
        </xdr:cNvSpPr>
      </xdr:nvSpPr>
      <xdr:spPr>
        <a:xfrm flipH="1">
          <a:off x="9239250" y="619125"/>
          <a:ext cx="6286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13</xdr:row>
      <xdr:rowOff>9525</xdr:rowOff>
    </xdr:from>
    <xdr:to>
      <xdr:col>12</xdr:col>
      <xdr:colOff>352425</xdr:colOff>
      <xdr:row>13</xdr:row>
      <xdr:rowOff>76200</xdr:rowOff>
    </xdr:to>
    <xdr:sp>
      <xdr:nvSpPr>
        <xdr:cNvPr id="4" name="Line 6"/>
        <xdr:cNvSpPr>
          <a:spLocks/>
        </xdr:cNvSpPr>
      </xdr:nvSpPr>
      <xdr:spPr>
        <a:xfrm flipH="1">
          <a:off x="9277350" y="2114550"/>
          <a:ext cx="88582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15</xdr:row>
      <xdr:rowOff>76200</xdr:rowOff>
    </xdr:from>
    <xdr:to>
      <xdr:col>12</xdr:col>
      <xdr:colOff>209550</xdr:colOff>
      <xdr:row>15</xdr:row>
      <xdr:rowOff>76200</xdr:rowOff>
    </xdr:to>
    <xdr:sp>
      <xdr:nvSpPr>
        <xdr:cNvPr id="5" name="Line 9"/>
        <xdr:cNvSpPr>
          <a:spLocks/>
        </xdr:cNvSpPr>
      </xdr:nvSpPr>
      <xdr:spPr>
        <a:xfrm flipH="1">
          <a:off x="9286875" y="250507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676275</xdr:colOff>
      <xdr:row>17</xdr:row>
      <xdr:rowOff>57150</xdr:rowOff>
    </xdr:from>
    <xdr:to>
      <xdr:col>10</xdr:col>
      <xdr:colOff>838200</xdr:colOff>
      <xdr:row>19</xdr:row>
      <xdr:rowOff>57150</xdr:rowOff>
    </xdr:to>
    <xdr:sp>
      <xdr:nvSpPr>
        <xdr:cNvPr id="6" name="Line 10"/>
        <xdr:cNvSpPr>
          <a:spLocks/>
        </xdr:cNvSpPr>
      </xdr:nvSpPr>
      <xdr:spPr>
        <a:xfrm flipV="1">
          <a:off x="8601075" y="2809875"/>
          <a:ext cx="1619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39</xdr:row>
      <xdr:rowOff>152400</xdr:rowOff>
    </xdr:from>
    <xdr:to>
      <xdr:col>4</xdr:col>
      <xdr:colOff>171450</xdr:colOff>
      <xdr:row>42</xdr:row>
      <xdr:rowOff>123825</xdr:rowOff>
    </xdr:to>
    <xdr:sp>
      <xdr:nvSpPr>
        <xdr:cNvPr id="7" name="TextBox 11"/>
        <xdr:cNvSpPr txBox="1">
          <a:spLocks noChangeArrowheads="1"/>
        </xdr:cNvSpPr>
      </xdr:nvSpPr>
      <xdr:spPr>
        <a:xfrm>
          <a:off x="942975" y="6467475"/>
          <a:ext cx="29146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Quantiles computed using StatPlus/Univariate Statistics and selecting the Distribution Tab.</a:t>
          </a:r>
        </a:p>
      </xdr:txBody>
    </xdr:sp>
    <xdr:clientData/>
  </xdr:twoCellAnchor>
  <xdr:twoCellAnchor>
    <xdr:from>
      <xdr:col>14</xdr:col>
      <xdr:colOff>76200</xdr:colOff>
      <xdr:row>2</xdr:row>
      <xdr:rowOff>19050</xdr:rowOff>
    </xdr:from>
    <xdr:to>
      <xdr:col>17</xdr:col>
      <xdr:colOff>0</xdr:colOff>
      <xdr:row>9</xdr:row>
      <xdr:rowOff>76200</xdr:rowOff>
    </xdr:to>
    <xdr:sp>
      <xdr:nvSpPr>
        <xdr:cNvPr id="8" name="TextBox 12"/>
        <xdr:cNvSpPr txBox="1">
          <a:spLocks noChangeArrowheads="1"/>
        </xdr:cNvSpPr>
      </xdr:nvSpPr>
      <xdr:spPr>
        <a:xfrm>
          <a:off x="11106150" y="342900"/>
          <a:ext cx="1752600"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Sample statistics computed using StatPlus/Univariate Statistics and selecting Summary and Variability Tabs. You can also use Tools/Data Analysis/Descriptive Statistics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k-Carey\StatPlusV2\StatPlusV2.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List"/>
      <sheetName val="FunctionList"/>
      <sheetName val="ShortCut"/>
      <sheetName val="Sign Rank Table"/>
      <sheetName val="Sign Rank Quartile"/>
      <sheetName val="MannW"/>
      <sheetName val="MannWRank"/>
      <sheetName val="Runs"/>
    </sheetNames>
    <definedNames>
      <definedName name="COUNTBETW"/>
      <definedName name="IQR"/>
      <definedName name="modevalue"/>
      <definedName name="RANGEVALUE"/>
      <definedName name="s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8.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2.vml" /><Relationship Id="rId6" Type="http://schemas.openxmlformats.org/officeDocument/2006/relationships/drawing" Target="../drawings/drawing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1:AB187"/>
  <sheetViews>
    <sheetView workbookViewId="0" topLeftCell="A4">
      <selection activeCell="J6" sqref="J6"/>
    </sheetView>
  </sheetViews>
  <sheetFormatPr defaultColWidth="9.140625" defaultRowHeight="12.75"/>
  <cols>
    <col min="1" max="1" width="10.28125" style="5" bestFit="1" customWidth="1"/>
    <col min="2" max="4" width="9.28125" style="5" bestFit="1" customWidth="1"/>
    <col min="5" max="5" width="9.140625" style="5" customWidth="1"/>
    <col min="6" max="6" width="9.421875" style="5" bestFit="1" customWidth="1"/>
    <col min="7" max="9" width="9.7109375" style="5" bestFit="1" customWidth="1"/>
    <col min="10" max="10" width="9.28125" style="5" bestFit="1" customWidth="1"/>
    <col min="11" max="22" width="9.140625" style="5" customWidth="1"/>
    <col min="23" max="23" width="9.28125" style="5" customWidth="1"/>
    <col min="24" max="24" width="9.140625" style="5" customWidth="1"/>
    <col min="25" max="25" width="12.140625" style="5" bestFit="1" customWidth="1"/>
    <col min="26" max="26" width="16.7109375" style="5" customWidth="1"/>
    <col min="27" max="27" width="9.140625" style="5" customWidth="1"/>
    <col min="28" max="28" width="15.57421875" style="5" bestFit="1" customWidth="1"/>
    <col min="29" max="16384" width="9.140625" style="5" customWidth="1"/>
  </cols>
  <sheetData>
    <row r="1" ht="15">
      <c r="A1" s="5" t="s">
        <v>23</v>
      </c>
    </row>
    <row r="2" spans="1:6" ht="15.75">
      <c r="A2" s="12" t="s">
        <v>0</v>
      </c>
      <c r="B2" s="12" t="s">
        <v>1</v>
      </c>
      <c r="C2" s="12" t="s">
        <v>2</v>
      </c>
      <c r="D2" s="12" t="s">
        <v>3</v>
      </c>
      <c r="F2" s="5" t="s">
        <v>22</v>
      </c>
    </row>
    <row r="3" spans="1:25" ht="15.75">
      <c r="A3" s="6">
        <v>33756</v>
      </c>
      <c r="B3" s="5">
        <v>2.7812</v>
      </c>
      <c r="C3" s="5">
        <v>4.375</v>
      </c>
      <c r="D3" s="5">
        <v>408.14</v>
      </c>
      <c r="F3" s="11" t="s">
        <v>21</v>
      </c>
      <c r="G3" s="11" t="s">
        <v>4</v>
      </c>
      <c r="H3" s="11" t="s">
        <v>5</v>
      </c>
      <c r="I3" s="11" t="s">
        <v>6</v>
      </c>
      <c r="K3" s="5" t="s">
        <v>7</v>
      </c>
      <c r="N3" s="7"/>
      <c r="Y3" s="7"/>
    </row>
    <row r="4" spans="1:25" ht="15">
      <c r="A4" s="6">
        <v>33786</v>
      </c>
      <c r="B4" s="5">
        <v>3.3281</v>
      </c>
      <c r="C4" s="5">
        <v>4.5469</v>
      </c>
      <c r="D4" s="5">
        <v>424.21</v>
      </c>
      <c r="F4" s="10">
        <v>0.0026894633791912296</v>
      </c>
      <c r="G4" s="10">
        <f>LN(B4/B3)</f>
        <v>0.1795190813417251</v>
      </c>
      <c r="H4" s="10">
        <f>LN(C4/C3)</f>
        <v>0.038539162268914316</v>
      </c>
      <c r="I4" s="10">
        <f aca="true" t="shared" si="0" ref="I4:I35">LN(D4/D3)</f>
        <v>0.038618362837734996</v>
      </c>
      <c r="N4" s="7"/>
      <c r="Y4" s="7"/>
    </row>
    <row r="5" spans="1:25" ht="15">
      <c r="A5" s="6">
        <v>33817</v>
      </c>
      <c r="B5" s="5">
        <v>3.1094</v>
      </c>
      <c r="C5" s="5">
        <v>4.6562</v>
      </c>
      <c r="D5" s="5">
        <v>414.03</v>
      </c>
      <c r="F5" s="10">
        <v>0.002624888921614277</v>
      </c>
      <c r="G5" s="10">
        <f aca="true" t="shared" si="1" ref="G5:G68">LN(B5/B4)</f>
        <v>-0.06797178905094751</v>
      </c>
      <c r="H5" s="10">
        <f aca="true" t="shared" si="2" ref="H5:H36">LN(C5/C4)</f>
        <v>0.023753982754551504</v>
      </c>
      <c r="I5" s="10">
        <f t="shared" si="0"/>
        <v>-0.024290180670616498</v>
      </c>
      <c r="N5" s="7"/>
      <c r="Y5" s="7"/>
    </row>
    <row r="6" spans="1:25" ht="15">
      <c r="A6" s="6">
        <v>33848</v>
      </c>
      <c r="B6" s="5">
        <v>3.7812</v>
      </c>
      <c r="C6" s="5">
        <v>5.0312</v>
      </c>
      <c r="D6" s="5">
        <v>417.8</v>
      </c>
      <c r="F6" s="10">
        <v>0.0024389581400472812</v>
      </c>
      <c r="G6" s="10">
        <f t="shared" si="1"/>
        <v>0.19561163803558895</v>
      </c>
      <c r="H6" s="10">
        <f t="shared" si="2"/>
        <v>0.07745885941411298</v>
      </c>
      <c r="I6" s="10">
        <f t="shared" si="0"/>
        <v>0.0090644141544072</v>
      </c>
      <c r="N6" s="7"/>
      <c r="Y6" s="7"/>
    </row>
    <row r="7" spans="1:25" ht="15">
      <c r="A7" s="6">
        <v>33878</v>
      </c>
      <c r="B7" s="5">
        <v>3.6875</v>
      </c>
      <c r="C7" s="5">
        <v>5.5469</v>
      </c>
      <c r="D7" s="5">
        <v>418.68</v>
      </c>
      <c r="F7" s="10">
        <v>0.002406579962531351</v>
      </c>
      <c r="G7" s="10">
        <f t="shared" si="1"/>
        <v>-0.025092697903153976</v>
      </c>
      <c r="H7" s="10">
        <f t="shared" si="2"/>
        <v>0.09758068890068425</v>
      </c>
      <c r="I7" s="10">
        <f t="shared" si="0"/>
        <v>0.00210405586421754</v>
      </c>
      <c r="N7" s="7"/>
      <c r="Y7" s="7"/>
    </row>
    <row r="8" spans="1:25" ht="15">
      <c r="A8" s="6">
        <v>33909</v>
      </c>
      <c r="B8" s="5">
        <v>4.7188</v>
      </c>
      <c r="C8" s="5">
        <v>5.8203</v>
      </c>
      <c r="D8" s="5">
        <v>431.35</v>
      </c>
      <c r="F8" s="10">
        <v>0.002632963465812548</v>
      </c>
      <c r="G8" s="10">
        <f t="shared" si="1"/>
        <v>0.24660580831961204</v>
      </c>
      <c r="H8" s="10">
        <f t="shared" si="2"/>
        <v>0.04811259365878859</v>
      </c>
      <c r="I8" s="10">
        <f t="shared" si="0"/>
        <v>0.029812920535904664</v>
      </c>
      <c r="N8" s="7"/>
      <c r="Y8" s="7"/>
    </row>
    <row r="9" spans="1:25" ht="15">
      <c r="A9" s="6">
        <v>33939</v>
      </c>
      <c r="B9" s="5">
        <v>4.625</v>
      </c>
      <c r="C9" s="5">
        <v>5.3359</v>
      </c>
      <c r="D9" s="5">
        <v>435.71</v>
      </c>
      <c r="F9" s="10">
        <v>0.002697531669204121</v>
      </c>
      <c r="G9" s="10">
        <f t="shared" si="1"/>
        <v>-0.020078159021161803</v>
      </c>
      <c r="H9" s="10">
        <f t="shared" si="2"/>
        <v>-0.08689423899859978</v>
      </c>
      <c r="I9" s="10">
        <f t="shared" si="0"/>
        <v>0.010057058909607923</v>
      </c>
      <c r="N9" s="7"/>
      <c r="Y9" s="7"/>
    </row>
    <row r="10" spans="1:25" ht="15">
      <c r="A10" s="6">
        <v>33970</v>
      </c>
      <c r="B10" s="5">
        <v>4.8125</v>
      </c>
      <c r="C10" s="5">
        <v>5.4062</v>
      </c>
      <c r="D10" s="5">
        <v>438.78</v>
      </c>
      <c r="F10" s="10">
        <v>0.002519848588384053</v>
      </c>
      <c r="G10" s="10">
        <f t="shared" si="1"/>
        <v>0.03974032864951412</v>
      </c>
      <c r="H10" s="10">
        <f t="shared" si="2"/>
        <v>0.013088875292341472</v>
      </c>
      <c r="I10" s="10">
        <f t="shared" si="0"/>
        <v>0.007021264078719025</v>
      </c>
      <c r="N10" s="7"/>
      <c r="Y10" s="7"/>
    </row>
    <row r="11" spans="1:25" ht="15">
      <c r="A11" s="6">
        <v>34001</v>
      </c>
      <c r="B11" s="5">
        <v>4.5312</v>
      </c>
      <c r="C11" s="5">
        <v>5.2109</v>
      </c>
      <c r="D11" s="5">
        <v>443.38</v>
      </c>
      <c r="F11" s="10">
        <v>0.00245514251246816</v>
      </c>
      <c r="G11" s="10">
        <f t="shared" si="1"/>
        <v>-0.060229894536693654</v>
      </c>
      <c r="H11" s="10">
        <f t="shared" si="2"/>
        <v>-0.0367938575320578</v>
      </c>
      <c r="I11" s="10">
        <f t="shared" si="0"/>
        <v>0.010429041654892349</v>
      </c>
      <c r="N11" s="7"/>
      <c r="Y11" s="7"/>
    </row>
    <row r="12" spans="1:25" ht="15">
      <c r="A12" s="6">
        <v>34029</v>
      </c>
      <c r="B12" s="5">
        <v>4.75</v>
      </c>
      <c r="C12" s="5">
        <v>5.7812</v>
      </c>
      <c r="D12" s="5">
        <v>451.67</v>
      </c>
      <c r="F12" s="10">
        <v>0.002471323742292565</v>
      </c>
      <c r="G12" s="10">
        <f t="shared" si="1"/>
        <v>0.047157812969341024</v>
      </c>
      <c r="H12" s="10">
        <f t="shared" si="2"/>
        <v>0.10385868802423674</v>
      </c>
      <c r="I12" s="10">
        <f t="shared" si="0"/>
        <v>0.01852463452645282</v>
      </c>
      <c r="N12" s="7"/>
      <c r="Y12" s="7"/>
    </row>
    <row r="13" spans="1:25" ht="15">
      <c r="A13" s="6">
        <v>34060</v>
      </c>
      <c r="B13" s="5">
        <v>4.8438</v>
      </c>
      <c r="C13" s="5">
        <v>5.3438</v>
      </c>
      <c r="D13" s="5">
        <v>440.19</v>
      </c>
      <c r="F13" s="10">
        <v>0.002406579962531351</v>
      </c>
      <c r="G13" s="10">
        <f t="shared" si="1"/>
        <v>0.019554918600337808</v>
      </c>
      <c r="H13" s="10">
        <f t="shared" si="2"/>
        <v>-0.07867426320824425</v>
      </c>
      <c r="I13" s="10">
        <f t="shared" si="0"/>
        <v>-0.025745372804774513</v>
      </c>
      <c r="N13" s="7"/>
      <c r="Y13" s="7"/>
    </row>
    <row r="14" spans="1:25" ht="15">
      <c r="A14" s="6">
        <v>34090</v>
      </c>
      <c r="B14" s="5">
        <v>6</v>
      </c>
      <c r="C14" s="5">
        <v>5.7891</v>
      </c>
      <c r="D14" s="5">
        <v>450.19</v>
      </c>
      <c r="F14" s="10">
        <v>0.002487501830740393</v>
      </c>
      <c r="G14" s="10">
        <f t="shared" si="1"/>
        <v>0.21405993258116734</v>
      </c>
      <c r="H14" s="10">
        <f t="shared" si="2"/>
        <v>0.08003982870397734</v>
      </c>
      <c r="I14" s="10">
        <f t="shared" si="0"/>
        <v>0.022463263988382214</v>
      </c>
      <c r="N14" s="7"/>
      <c r="Y14" s="7"/>
    </row>
    <row r="15" spans="1:25" ht="15">
      <c r="A15" s="6">
        <v>34121</v>
      </c>
      <c r="B15" s="5">
        <v>6.125</v>
      </c>
      <c r="C15" s="5">
        <v>5.5</v>
      </c>
      <c r="D15" s="5">
        <v>450.53</v>
      </c>
      <c r="F15" s="10">
        <v>0.0025764252195602387</v>
      </c>
      <c r="G15" s="10">
        <f t="shared" si="1"/>
        <v>0.02061928720273561</v>
      </c>
      <c r="H15" s="10">
        <f t="shared" si="2"/>
        <v>-0.05122874684985769</v>
      </c>
      <c r="I15" s="10">
        <f t="shared" si="0"/>
        <v>0.0007549516301373383</v>
      </c>
      <c r="N15" s="7"/>
      <c r="Y15" s="7"/>
    </row>
    <row r="16" spans="1:25" ht="15">
      <c r="A16" s="6">
        <v>34151</v>
      </c>
      <c r="B16" s="5">
        <v>5.9375</v>
      </c>
      <c r="C16" s="5">
        <v>4.625</v>
      </c>
      <c r="D16" s="5">
        <v>448.13</v>
      </c>
      <c r="F16" s="10">
        <v>0.0025521827951467094</v>
      </c>
      <c r="G16" s="10">
        <f t="shared" si="1"/>
        <v>-0.03109058707003112</v>
      </c>
      <c r="H16" s="10">
        <f t="shared" si="2"/>
        <v>-0.17327172127403667</v>
      </c>
      <c r="I16" s="10">
        <f t="shared" si="0"/>
        <v>-0.00534129861324958</v>
      </c>
      <c r="N16" s="7"/>
      <c r="Y16" s="7"/>
    </row>
    <row r="17" spans="1:25" ht="15">
      <c r="A17" s="6">
        <v>34182</v>
      </c>
      <c r="B17" s="5">
        <v>6.0625</v>
      </c>
      <c r="C17" s="5">
        <v>4.6953</v>
      </c>
      <c r="D17" s="5">
        <v>463.56</v>
      </c>
      <c r="F17" s="10">
        <v>0.002536017260016722</v>
      </c>
      <c r="G17" s="10">
        <f t="shared" si="1"/>
        <v>0.020834086902842053</v>
      </c>
      <c r="H17" s="10">
        <f t="shared" si="2"/>
        <v>0.015085637418040735</v>
      </c>
      <c r="I17" s="10">
        <f t="shared" si="0"/>
        <v>0.033852457573435274</v>
      </c>
      <c r="N17" s="7"/>
      <c r="Y17" s="7"/>
    </row>
    <row r="18" spans="1:25" ht="15">
      <c r="A18" s="6">
        <v>34213</v>
      </c>
      <c r="B18" s="5">
        <v>6.8438</v>
      </c>
      <c r="C18" s="5">
        <v>5.1562</v>
      </c>
      <c r="D18" s="5">
        <v>458.93</v>
      </c>
      <c r="F18" s="10">
        <v>0.002471323742292565</v>
      </c>
      <c r="G18" s="10">
        <f t="shared" si="1"/>
        <v>0.12122087666255746</v>
      </c>
      <c r="H18" s="10">
        <f t="shared" si="2"/>
        <v>0.09363786570171183</v>
      </c>
      <c r="I18" s="10">
        <f t="shared" si="0"/>
        <v>-0.010038133482406217</v>
      </c>
      <c r="N18" s="7"/>
      <c r="Y18" s="7"/>
    </row>
    <row r="19" spans="1:25" ht="15">
      <c r="A19" s="6">
        <v>34243</v>
      </c>
      <c r="B19" s="5">
        <v>6.6875</v>
      </c>
      <c r="C19" s="5">
        <v>5.0078</v>
      </c>
      <c r="D19" s="5">
        <v>467.83</v>
      </c>
      <c r="F19" s="10">
        <v>0.002536017260016722</v>
      </c>
      <c r="G19" s="10">
        <f t="shared" si="1"/>
        <v>-0.02310302070403419</v>
      </c>
      <c r="H19" s="10">
        <f t="shared" si="2"/>
        <v>-0.029203177186047646</v>
      </c>
      <c r="I19" s="10">
        <f t="shared" si="0"/>
        <v>0.019207289080128778</v>
      </c>
      <c r="N19" s="7"/>
      <c r="Y19" s="7"/>
    </row>
    <row r="20" spans="1:25" ht="15">
      <c r="A20" s="6">
        <v>34274</v>
      </c>
      <c r="B20" s="5">
        <v>5.5625</v>
      </c>
      <c r="C20" s="5">
        <v>5</v>
      </c>
      <c r="D20" s="5">
        <v>461.79</v>
      </c>
      <c r="F20" s="10">
        <v>0.002608737485701067</v>
      </c>
      <c r="G20" s="10">
        <f t="shared" si="1"/>
        <v>-0.18419246472976636</v>
      </c>
      <c r="H20" s="10">
        <f t="shared" si="2"/>
        <v>-0.0015587844639931602</v>
      </c>
      <c r="I20" s="10">
        <f t="shared" si="0"/>
        <v>-0.012994739773819838</v>
      </c>
      <c r="N20" s="7"/>
      <c r="Y20" s="7"/>
    </row>
    <row r="21" spans="1:25" ht="15">
      <c r="A21" s="6">
        <v>34304</v>
      </c>
      <c r="B21" s="5">
        <v>5.5625</v>
      </c>
      <c r="C21" s="5">
        <v>5.0391</v>
      </c>
      <c r="D21" s="5">
        <v>466.45</v>
      </c>
      <c r="F21" s="10">
        <v>0.0025683451949905134</v>
      </c>
      <c r="G21" s="10">
        <f t="shared" si="1"/>
        <v>0</v>
      </c>
      <c r="H21" s="10">
        <f t="shared" si="2"/>
        <v>0.007789582274829718</v>
      </c>
      <c r="I21" s="10">
        <f t="shared" si="0"/>
        <v>0.010040591116877065</v>
      </c>
      <c r="N21" s="7"/>
      <c r="Y21" s="7"/>
    </row>
    <row r="22" spans="1:25" ht="15">
      <c r="A22" s="6">
        <v>34335</v>
      </c>
      <c r="B22" s="5">
        <v>6</v>
      </c>
      <c r="C22" s="5">
        <v>5.3203</v>
      </c>
      <c r="D22" s="5">
        <v>481.61</v>
      </c>
      <c r="F22" s="10">
        <v>0.0024955896973292797</v>
      </c>
      <c r="G22" s="10">
        <f t="shared" si="1"/>
        <v>0.07571182173569638</v>
      </c>
      <c r="H22" s="10">
        <f t="shared" si="2"/>
        <v>0.054302198032155156</v>
      </c>
      <c r="I22" s="10">
        <f t="shared" si="0"/>
        <v>0.031983824491671184</v>
      </c>
      <c r="N22" s="7"/>
      <c r="Y22" s="7"/>
    </row>
    <row r="23" spans="1:25" ht="15">
      <c r="A23" s="6">
        <v>34366</v>
      </c>
      <c r="B23" s="5">
        <v>5.8125</v>
      </c>
      <c r="C23" s="5">
        <v>5.1562</v>
      </c>
      <c r="D23" s="5">
        <v>467.14</v>
      </c>
      <c r="F23" s="10">
        <v>0.0027297970198476196</v>
      </c>
      <c r="G23" s="10">
        <f t="shared" si="1"/>
        <v>-0.0317486983145803</v>
      </c>
      <c r="H23" s="10">
        <f t="shared" si="2"/>
        <v>-0.03132981865694396</v>
      </c>
      <c r="I23" s="10">
        <f t="shared" si="0"/>
        <v>-0.03050565928931071</v>
      </c>
      <c r="N23" s="7"/>
      <c r="Y23" s="7"/>
    </row>
    <row r="24" spans="1:25" ht="15">
      <c r="A24" s="6">
        <v>34394</v>
      </c>
      <c r="B24" s="5">
        <v>6.0938</v>
      </c>
      <c r="C24" s="5">
        <v>5.2969</v>
      </c>
      <c r="D24" s="5">
        <v>445.77</v>
      </c>
      <c r="F24" s="10">
        <v>0.002939217840159926</v>
      </c>
      <c r="G24" s="10">
        <f t="shared" si="1"/>
        <v>0.04726108994508879</v>
      </c>
      <c r="H24" s="10">
        <f t="shared" si="2"/>
        <v>0.026921869689510994</v>
      </c>
      <c r="I24" s="10">
        <f t="shared" si="0"/>
        <v>-0.04682587467296497</v>
      </c>
      <c r="N24" s="7"/>
      <c r="Y24" s="7"/>
    </row>
    <row r="25" spans="1:25" ht="15">
      <c r="A25" s="6">
        <v>34425</v>
      </c>
      <c r="B25" s="5">
        <v>7.4375</v>
      </c>
      <c r="C25" s="5">
        <v>5.7812</v>
      </c>
      <c r="D25" s="5">
        <v>450.91</v>
      </c>
      <c r="F25" s="10">
        <v>0.0030919239959586015</v>
      </c>
      <c r="G25" s="10">
        <f t="shared" si="1"/>
        <v>0.19926291001318458</v>
      </c>
      <c r="H25" s="10">
        <f t="shared" si="2"/>
        <v>0.08748952981889774</v>
      </c>
      <c r="I25" s="10">
        <f t="shared" si="0"/>
        <v>0.011464639111236987</v>
      </c>
      <c r="N25" s="7"/>
      <c r="Y25" s="7"/>
    </row>
    <row r="26" spans="1:25" ht="15">
      <c r="A26" s="6">
        <v>34455</v>
      </c>
      <c r="B26" s="5">
        <v>7.125</v>
      </c>
      <c r="C26" s="5">
        <v>6.7188</v>
      </c>
      <c r="D26" s="5">
        <v>456.5</v>
      </c>
      <c r="F26" s="10">
        <v>0.0034844585677842564</v>
      </c>
      <c r="G26" s="10">
        <f t="shared" si="1"/>
        <v>-0.042925044717033886</v>
      </c>
      <c r="H26" s="10">
        <f t="shared" si="2"/>
        <v>0.15029829356816102</v>
      </c>
      <c r="I26" s="10">
        <f t="shared" si="0"/>
        <v>0.012320936987420615</v>
      </c>
      <c r="N26" s="7"/>
      <c r="Y26" s="7"/>
    </row>
    <row r="27" spans="1:25" ht="15">
      <c r="A27" s="6">
        <v>34486</v>
      </c>
      <c r="B27" s="5">
        <v>6.3125</v>
      </c>
      <c r="C27" s="5">
        <v>6.4531</v>
      </c>
      <c r="D27" s="5">
        <v>444.27</v>
      </c>
      <c r="F27" s="10">
        <v>0.0034684728909015194</v>
      </c>
      <c r="G27" s="10">
        <f t="shared" si="1"/>
        <v>-0.12107793155323604</v>
      </c>
      <c r="H27" s="10">
        <f t="shared" si="2"/>
        <v>-0.040348931658863926</v>
      </c>
      <c r="I27" s="10">
        <f t="shared" si="0"/>
        <v>-0.027156214317501502</v>
      </c>
      <c r="N27" s="7"/>
      <c r="Y27" s="7"/>
    </row>
    <row r="28" spans="1:25" ht="15">
      <c r="A28" s="6">
        <v>34516</v>
      </c>
      <c r="B28" s="5">
        <v>7.25</v>
      </c>
      <c r="C28" s="5">
        <v>6.4375</v>
      </c>
      <c r="D28" s="5">
        <v>458.26</v>
      </c>
      <c r="F28" s="10">
        <v>0.003636169751671796</v>
      </c>
      <c r="G28" s="10">
        <f t="shared" si="1"/>
        <v>0.13846967426510512</v>
      </c>
      <c r="H28" s="10">
        <f t="shared" si="2"/>
        <v>-0.002420369511992366</v>
      </c>
      <c r="I28" s="10">
        <f t="shared" si="0"/>
        <v>0.03100422291367488</v>
      </c>
      <c r="N28" s="7"/>
      <c r="Y28" s="7"/>
    </row>
    <row r="29" spans="1:25" ht="15">
      <c r="A29" s="6">
        <v>34547</v>
      </c>
      <c r="B29" s="5">
        <v>7.0625</v>
      </c>
      <c r="C29" s="5">
        <v>7.2656</v>
      </c>
      <c r="D29" s="5">
        <v>475.49</v>
      </c>
      <c r="F29" s="10">
        <v>0.003755746947298158</v>
      </c>
      <c r="G29" s="10">
        <f t="shared" si="1"/>
        <v>-0.026202372394024072</v>
      </c>
      <c r="H29" s="10">
        <f t="shared" si="2"/>
        <v>0.1210106153716951</v>
      </c>
      <c r="I29" s="10">
        <f t="shared" si="0"/>
        <v>0.03690914263888793</v>
      </c>
      <c r="N29" s="7"/>
      <c r="Y29" s="7"/>
    </row>
    <row r="30" spans="1:25" ht="15">
      <c r="A30" s="6">
        <v>34578</v>
      </c>
      <c r="B30" s="5">
        <v>5.7656</v>
      </c>
      <c r="C30" s="5">
        <v>7.0156</v>
      </c>
      <c r="D30" s="5">
        <v>462.71</v>
      </c>
      <c r="F30" s="10">
        <v>0.0038671977345128778</v>
      </c>
      <c r="G30" s="10">
        <f t="shared" si="1"/>
        <v>-0.20288987184446508</v>
      </c>
      <c r="H30" s="10">
        <f t="shared" si="2"/>
        <v>-0.03501464045970389</v>
      </c>
      <c r="I30" s="10">
        <f t="shared" si="0"/>
        <v>-0.02724534331489988</v>
      </c>
      <c r="N30" s="7"/>
      <c r="Y30" s="7"/>
    </row>
    <row r="31" spans="1:25" ht="15">
      <c r="A31" s="6">
        <v>34608</v>
      </c>
      <c r="B31" s="5">
        <v>6.7812</v>
      </c>
      <c r="C31" s="5">
        <v>7.875</v>
      </c>
      <c r="D31" s="5">
        <v>472.35</v>
      </c>
      <c r="F31" s="10">
        <v>0.00414517432456786</v>
      </c>
      <c r="G31" s="10">
        <f t="shared" si="1"/>
        <v>0.1622448528135667</v>
      </c>
      <c r="H31" s="10">
        <f t="shared" si="2"/>
        <v>0.11555694380985097</v>
      </c>
      <c r="I31" s="10">
        <f t="shared" si="0"/>
        <v>0.02061972825995886</v>
      </c>
      <c r="N31" s="7"/>
      <c r="Y31" s="7"/>
    </row>
    <row r="32" spans="1:25" ht="15">
      <c r="A32" s="6">
        <v>34639</v>
      </c>
      <c r="B32" s="5">
        <v>6.7031</v>
      </c>
      <c r="C32" s="5">
        <v>7.8594</v>
      </c>
      <c r="D32" s="5">
        <v>453.69</v>
      </c>
      <c r="F32" s="10">
        <v>0.004422226744724396</v>
      </c>
      <c r="G32" s="10">
        <f t="shared" si="1"/>
        <v>-0.011583971484000397</v>
      </c>
      <c r="H32" s="10">
        <f t="shared" si="2"/>
        <v>-0.001982917062175621</v>
      </c>
      <c r="I32" s="10">
        <f t="shared" si="0"/>
        <v>-0.04030609078438459</v>
      </c>
      <c r="N32" s="7"/>
      <c r="Y32" s="7"/>
    </row>
    <row r="33" spans="1:25" ht="15">
      <c r="A33" s="6">
        <v>34669</v>
      </c>
      <c r="B33" s="5">
        <v>6.875</v>
      </c>
      <c r="C33" s="5">
        <v>7.6406</v>
      </c>
      <c r="D33" s="5">
        <v>459.27</v>
      </c>
      <c r="F33" s="10">
        <v>0.00466684917627372</v>
      </c>
      <c r="G33" s="10">
        <f t="shared" si="1"/>
        <v>0.02532153759497447</v>
      </c>
      <c r="H33" s="10">
        <f t="shared" si="2"/>
        <v>-0.02823413352331399</v>
      </c>
      <c r="I33" s="10">
        <f t="shared" si="0"/>
        <v>0.012224126981340542</v>
      </c>
      <c r="N33" s="7"/>
      <c r="Y33" s="7"/>
    </row>
    <row r="34" spans="1:25" ht="15">
      <c r="A34" s="6">
        <v>34700</v>
      </c>
      <c r="B34" s="5">
        <v>6</v>
      </c>
      <c r="C34" s="5">
        <v>7.4219</v>
      </c>
      <c r="D34" s="5">
        <v>470.42</v>
      </c>
      <c r="F34" s="10">
        <v>0.004777088884939193</v>
      </c>
      <c r="G34" s="10">
        <f t="shared" si="1"/>
        <v>-0.13613217432458005</v>
      </c>
      <c r="H34" s="10">
        <f t="shared" si="2"/>
        <v>-0.029041045035858273</v>
      </c>
      <c r="I34" s="10">
        <f t="shared" si="0"/>
        <v>0.023987640275298247</v>
      </c>
      <c r="N34" s="7"/>
      <c r="Y34" s="7"/>
    </row>
    <row r="35" spans="1:25" ht="15">
      <c r="A35" s="6">
        <v>34731</v>
      </c>
      <c r="B35" s="5">
        <v>5.9688</v>
      </c>
      <c r="C35" s="5">
        <v>7.875</v>
      </c>
      <c r="D35" s="5">
        <v>487.39</v>
      </c>
      <c r="F35" s="10">
        <v>0.004808559177357457</v>
      </c>
      <c r="G35" s="10">
        <f t="shared" si="1"/>
        <v>-0.005213567052887434</v>
      </c>
      <c r="H35" s="10">
        <f t="shared" si="2"/>
        <v>0.059258095621347914</v>
      </c>
      <c r="I35" s="10">
        <f t="shared" si="0"/>
        <v>0.035438711264096985</v>
      </c>
      <c r="N35" s="7"/>
      <c r="Y35" s="7"/>
    </row>
    <row r="36" spans="1:25" ht="15">
      <c r="A36" s="6">
        <v>34759</v>
      </c>
      <c r="B36" s="5">
        <v>6</v>
      </c>
      <c r="C36" s="5">
        <v>8.8906</v>
      </c>
      <c r="D36" s="5">
        <v>500.71</v>
      </c>
      <c r="F36" s="10">
        <v>0.004784957572290517</v>
      </c>
      <c r="G36" s="10">
        <f t="shared" si="1"/>
        <v>0.005213567052887547</v>
      </c>
      <c r="H36" s="10">
        <f t="shared" si="2"/>
        <v>0.12130135410021774</v>
      </c>
      <c r="I36" s="10">
        <f aca="true" t="shared" si="3" ref="I36:I67">LN(D36/D35)</f>
        <v>0.026962467224111115</v>
      </c>
      <c r="N36" s="7"/>
      <c r="Y36" s="7"/>
    </row>
    <row r="37" spans="1:25" ht="15">
      <c r="A37" s="6">
        <v>34790</v>
      </c>
      <c r="B37" s="5">
        <v>5.875</v>
      </c>
      <c r="C37" s="5">
        <v>10.2188</v>
      </c>
      <c r="D37" s="5">
        <v>514.71</v>
      </c>
      <c r="F37" s="10">
        <v>0.004729861151550775</v>
      </c>
      <c r="G37" s="10">
        <f t="shared" si="1"/>
        <v>-0.02105340919783238</v>
      </c>
      <c r="H37" s="10">
        <f aca="true" t="shared" si="4" ref="H37:H68">LN(C37/C36)</f>
        <v>0.13923462224000263</v>
      </c>
      <c r="I37" s="10">
        <f t="shared" si="3"/>
        <v>0.02757654408783848</v>
      </c>
      <c r="N37" s="7"/>
      <c r="Y37" s="7"/>
    </row>
    <row r="38" spans="1:25" ht="15">
      <c r="A38" s="6">
        <v>34820</v>
      </c>
      <c r="B38" s="5">
        <v>7.2656</v>
      </c>
      <c r="C38" s="5">
        <v>10.5859</v>
      </c>
      <c r="D38" s="5">
        <v>533.4</v>
      </c>
      <c r="F38" s="10">
        <v>0.004737734299398574</v>
      </c>
      <c r="G38" s="10">
        <f t="shared" si="1"/>
        <v>0.21244482133132703</v>
      </c>
      <c r="H38" s="10">
        <f t="shared" si="4"/>
        <v>0.03529376590056819</v>
      </c>
      <c r="I38" s="10">
        <f t="shared" si="3"/>
        <v>0.03566797648446964</v>
      </c>
      <c r="N38" s="7"/>
      <c r="Y38" s="7"/>
    </row>
    <row r="39" spans="1:25" ht="15">
      <c r="A39" s="6">
        <v>34851</v>
      </c>
      <c r="B39" s="5">
        <v>8.9062</v>
      </c>
      <c r="C39" s="5">
        <v>11.2969</v>
      </c>
      <c r="D39" s="5">
        <v>544.75</v>
      </c>
      <c r="F39" s="10">
        <v>0.004572241786736736</v>
      </c>
      <c r="G39" s="10">
        <f t="shared" si="1"/>
        <v>0.20359678205652781</v>
      </c>
      <c r="H39" s="10">
        <f t="shared" si="4"/>
        <v>0.065005424845542</v>
      </c>
      <c r="I39" s="10">
        <f t="shared" si="3"/>
        <v>0.021055362076815406</v>
      </c>
      <c r="N39" s="7"/>
      <c r="Y39" s="7"/>
    </row>
    <row r="40" spans="1:25" ht="15">
      <c r="A40" s="6">
        <v>34881</v>
      </c>
      <c r="B40" s="5">
        <v>9.3438</v>
      </c>
      <c r="C40" s="5">
        <v>11.3125</v>
      </c>
      <c r="D40" s="5">
        <v>562.06</v>
      </c>
      <c r="F40" s="10">
        <v>0.004532790319194294</v>
      </c>
      <c r="G40" s="10">
        <f t="shared" si="1"/>
        <v>0.04796535832913346</v>
      </c>
      <c r="H40" s="10">
        <f t="shared" si="4"/>
        <v>0.001379957228017149</v>
      </c>
      <c r="I40" s="10">
        <f t="shared" si="3"/>
        <v>0.031281631936187715</v>
      </c>
      <c r="N40" s="7"/>
      <c r="Y40" s="7"/>
    </row>
    <row r="41" spans="1:25" ht="15">
      <c r="A41" s="6">
        <v>34912</v>
      </c>
      <c r="B41" s="5">
        <v>10</v>
      </c>
      <c r="C41" s="5">
        <v>11.5625</v>
      </c>
      <c r="D41" s="5">
        <v>561.88</v>
      </c>
      <c r="F41" s="10">
        <v>0.0045170045011260086</v>
      </c>
      <c r="G41" s="10">
        <f t="shared" si="1"/>
        <v>0.06787207124683467</v>
      </c>
      <c r="H41" s="10">
        <f t="shared" si="4"/>
        <v>0.021858793812499017</v>
      </c>
      <c r="I41" s="10">
        <f t="shared" si="3"/>
        <v>-0.00032030179820779727</v>
      </c>
      <c r="N41" s="7"/>
      <c r="Y41" s="7"/>
    </row>
    <row r="42" spans="1:25" ht="15">
      <c r="A42" s="6">
        <v>34943</v>
      </c>
      <c r="B42" s="5">
        <v>9.4688</v>
      </c>
      <c r="C42" s="5">
        <v>11.3125</v>
      </c>
      <c r="D42" s="5">
        <v>584.41</v>
      </c>
      <c r="F42" s="10">
        <v>0.004406419966730636</v>
      </c>
      <c r="G42" s="10">
        <f t="shared" si="1"/>
        <v>-0.05458290977029228</v>
      </c>
      <c r="H42" s="10">
        <f t="shared" si="4"/>
        <v>-0.021858793812499073</v>
      </c>
      <c r="I42" s="10">
        <f t="shared" si="3"/>
        <v>0.03931448733485356</v>
      </c>
      <c r="N42" s="7"/>
      <c r="Y42" s="7"/>
    </row>
    <row r="43" spans="1:25" ht="15">
      <c r="A43" s="6">
        <v>34973</v>
      </c>
      <c r="B43" s="5">
        <v>9.8125</v>
      </c>
      <c r="C43" s="5">
        <v>12.5</v>
      </c>
      <c r="D43" s="5">
        <v>581.5</v>
      </c>
      <c r="F43" s="10">
        <v>0.004414323730508821</v>
      </c>
      <c r="G43" s="10">
        <f t="shared" si="1"/>
        <v>0.03565489988477343</v>
      </c>
      <c r="H43" s="10">
        <f t="shared" si="4"/>
        <v>0.09982033528221099</v>
      </c>
      <c r="I43" s="10">
        <f t="shared" si="3"/>
        <v>-0.004991819338843618</v>
      </c>
      <c r="N43" s="7"/>
      <c r="Y43" s="7"/>
    </row>
    <row r="44" spans="1:25" ht="15">
      <c r="A44" s="6">
        <v>35004</v>
      </c>
      <c r="B44" s="5">
        <v>10.5625</v>
      </c>
      <c r="C44" s="5">
        <v>10.8906</v>
      </c>
      <c r="D44" s="5">
        <v>605.37</v>
      </c>
      <c r="F44" s="10">
        <v>0.00447752686841393</v>
      </c>
      <c r="G44" s="10">
        <f t="shared" si="1"/>
        <v>0.0736529095747654</v>
      </c>
      <c r="H44" s="10">
        <f t="shared" si="4"/>
        <v>-0.13782861246240558</v>
      </c>
      <c r="I44" s="10">
        <f t="shared" si="3"/>
        <v>0.04022886938718334</v>
      </c>
      <c r="N44" s="7"/>
      <c r="Y44" s="7"/>
    </row>
    <row r="45" spans="1:25" ht="15">
      <c r="A45" s="6">
        <v>35034</v>
      </c>
      <c r="B45" s="5">
        <v>10.5</v>
      </c>
      <c r="C45" s="5">
        <v>10.9688</v>
      </c>
      <c r="D45" s="5">
        <v>615.93</v>
      </c>
      <c r="F45" s="10">
        <v>0.004295688490047997</v>
      </c>
      <c r="G45" s="10">
        <f t="shared" si="1"/>
        <v>-0.005934735519814578</v>
      </c>
      <c r="H45" s="10">
        <f t="shared" si="4"/>
        <v>0.007154847214458238</v>
      </c>
      <c r="I45" s="10">
        <f t="shared" si="3"/>
        <v>0.017293479366880037</v>
      </c>
      <c r="N45" s="7"/>
      <c r="Y45" s="7"/>
    </row>
    <row r="46" spans="1:25" ht="15">
      <c r="A46" s="6">
        <v>35065</v>
      </c>
      <c r="B46" s="5">
        <v>8.375</v>
      </c>
      <c r="C46" s="5">
        <v>11.5625</v>
      </c>
      <c r="D46" s="5">
        <v>636.02</v>
      </c>
      <c r="F46" s="10">
        <v>0.0041848096800514815</v>
      </c>
      <c r="G46" s="10">
        <f t="shared" si="1"/>
        <v>-0.2261241794523475</v>
      </c>
      <c r="H46" s="10">
        <f t="shared" si="4"/>
        <v>0.05271222377823551</v>
      </c>
      <c r="I46" s="10">
        <f t="shared" si="3"/>
        <v>0.032096688673788</v>
      </c>
      <c r="N46" s="7"/>
      <c r="Y46" s="7"/>
    </row>
    <row r="47" spans="1:25" ht="15">
      <c r="A47" s="6">
        <v>35096</v>
      </c>
      <c r="B47" s="5">
        <v>8.8125</v>
      </c>
      <c r="C47" s="5">
        <v>12.3359</v>
      </c>
      <c r="D47" s="5">
        <v>640.43</v>
      </c>
      <c r="F47" s="10">
        <v>0.004034094933974031</v>
      </c>
      <c r="G47" s="10">
        <f t="shared" si="1"/>
        <v>0.050920090427256946</v>
      </c>
      <c r="H47" s="10">
        <f t="shared" si="4"/>
        <v>0.06474660759419078</v>
      </c>
      <c r="I47" s="10">
        <f t="shared" si="3"/>
        <v>0.0069098163601865855</v>
      </c>
      <c r="N47" s="7"/>
      <c r="Y47" s="7"/>
    </row>
    <row r="48" spans="1:25" ht="15">
      <c r="A48" s="6">
        <v>35125</v>
      </c>
      <c r="B48" s="5">
        <v>11.6562</v>
      </c>
      <c r="C48" s="5">
        <v>12.8906</v>
      </c>
      <c r="D48" s="5">
        <v>645.5</v>
      </c>
      <c r="F48" s="10">
        <v>0.00414517432456786</v>
      </c>
      <c r="G48" s="10">
        <f t="shared" si="1"/>
        <v>0.27966705915226586</v>
      </c>
      <c r="H48" s="10">
        <f t="shared" si="4"/>
        <v>0.04398465314645467</v>
      </c>
      <c r="I48" s="10">
        <f t="shared" si="3"/>
        <v>0.00788538453994017</v>
      </c>
      <c r="N48" s="7"/>
      <c r="Y48" s="7"/>
    </row>
    <row r="49" spans="1:25" ht="15">
      <c r="A49" s="6">
        <v>35156</v>
      </c>
      <c r="B49" s="5">
        <v>13.5625</v>
      </c>
      <c r="C49" s="5">
        <v>14.1562</v>
      </c>
      <c r="D49" s="5">
        <v>654.17</v>
      </c>
      <c r="F49" s="10">
        <v>0.004137244990784463</v>
      </c>
      <c r="G49" s="10">
        <f t="shared" si="1"/>
        <v>0.1514704040100253</v>
      </c>
      <c r="H49" s="10">
        <f t="shared" si="4"/>
        <v>0.09365432708905076</v>
      </c>
      <c r="I49" s="10">
        <f t="shared" si="3"/>
        <v>0.013342046230175701</v>
      </c>
      <c r="N49" s="7"/>
      <c r="Y49" s="7"/>
    </row>
    <row r="50" spans="1:25" ht="15">
      <c r="A50" s="6">
        <v>35186</v>
      </c>
      <c r="B50" s="5">
        <v>13.5625</v>
      </c>
      <c r="C50" s="5">
        <v>14.8438</v>
      </c>
      <c r="D50" s="5">
        <v>669.12</v>
      </c>
      <c r="F50" s="10">
        <v>0.0041848096800514815</v>
      </c>
      <c r="G50" s="10">
        <f t="shared" si="1"/>
        <v>0</v>
      </c>
      <c r="H50" s="10">
        <f t="shared" si="4"/>
        <v>0.04742957898205423</v>
      </c>
      <c r="I50" s="10">
        <f t="shared" si="3"/>
        <v>0.02259615972339602</v>
      </c>
      <c r="N50" s="7"/>
      <c r="Y50" s="7"/>
    </row>
    <row r="51" spans="1:25" ht="15">
      <c r="A51" s="6">
        <v>35217</v>
      </c>
      <c r="B51" s="5">
        <v>14.125</v>
      </c>
      <c r="C51" s="5">
        <v>15.0156</v>
      </c>
      <c r="D51" s="5">
        <v>670.63</v>
      </c>
      <c r="F51" s="10">
        <v>0.0042481870637191095</v>
      </c>
      <c r="G51" s="10">
        <f t="shared" si="1"/>
        <v>0.04063764573182626</v>
      </c>
      <c r="H51" s="10">
        <f t="shared" si="4"/>
        <v>0.011507391026578209</v>
      </c>
      <c r="I51" s="10">
        <f t="shared" si="3"/>
        <v>0.0022541528484939432</v>
      </c>
      <c r="N51" s="7"/>
      <c r="Y51" s="7"/>
    </row>
    <row r="52" spans="1:25" ht="15">
      <c r="A52" s="6">
        <v>35247</v>
      </c>
      <c r="B52" s="5">
        <v>13</v>
      </c>
      <c r="C52" s="5">
        <v>14.7344</v>
      </c>
      <c r="D52" s="5">
        <v>639.95</v>
      </c>
      <c r="F52" s="10">
        <v>0.004303602762653108</v>
      </c>
      <c r="G52" s="10">
        <f t="shared" si="1"/>
        <v>-0.08299691957096791</v>
      </c>
      <c r="H52" s="10">
        <f t="shared" si="4"/>
        <v>-0.018904764691906856</v>
      </c>
      <c r="I52" s="10">
        <f t="shared" si="3"/>
        <v>-0.046827520786961854</v>
      </c>
      <c r="N52" s="7"/>
      <c r="Y52" s="7"/>
    </row>
    <row r="53" spans="1:25" ht="15">
      <c r="A53" s="6">
        <v>35278</v>
      </c>
      <c r="B53" s="5">
        <v>16.375</v>
      </c>
      <c r="C53" s="5">
        <v>15.3125</v>
      </c>
      <c r="D53" s="5">
        <v>651.99</v>
      </c>
      <c r="F53" s="10">
        <v>0.004216504396924283</v>
      </c>
      <c r="G53" s="10">
        <f t="shared" si="1"/>
        <v>0.23080642405977886</v>
      </c>
      <c r="H53" s="10">
        <f t="shared" si="4"/>
        <v>0.03848459231998009</v>
      </c>
      <c r="I53" s="10">
        <f t="shared" si="3"/>
        <v>0.018639176083919788</v>
      </c>
      <c r="N53" s="7"/>
      <c r="Y53" s="7"/>
    </row>
    <row r="54" spans="1:25" ht="15">
      <c r="A54" s="6">
        <v>35309</v>
      </c>
      <c r="B54" s="5">
        <v>16.5</v>
      </c>
      <c r="C54" s="5">
        <v>16.4844</v>
      </c>
      <c r="D54" s="5">
        <v>687.33</v>
      </c>
      <c r="F54" s="10">
        <v>0.0042561058486666765</v>
      </c>
      <c r="G54" s="10">
        <f t="shared" si="1"/>
        <v>0.0076045993852192125</v>
      </c>
      <c r="H54" s="10">
        <f t="shared" si="4"/>
        <v>0.07374499083207707</v>
      </c>
      <c r="I54" s="10">
        <f t="shared" si="3"/>
        <v>0.0527853018507915</v>
      </c>
      <c r="N54" s="7"/>
      <c r="Y54" s="7"/>
    </row>
    <row r="55" spans="1:25" ht="15">
      <c r="A55" s="6">
        <v>35339</v>
      </c>
      <c r="B55" s="5">
        <v>16.25</v>
      </c>
      <c r="C55" s="5">
        <v>17.1562</v>
      </c>
      <c r="D55" s="5">
        <v>705.27</v>
      </c>
      <c r="F55" s="10">
        <v>0.00416103072901741</v>
      </c>
      <c r="G55" s="10">
        <f t="shared" si="1"/>
        <v>-0.01526747213078842</v>
      </c>
      <c r="H55" s="10">
        <f t="shared" si="4"/>
        <v>0.03994514517873474</v>
      </c>
      <c r="I55" s="10">
        <f t="shared" si="3"/>
        <v>0.025766181981528097</v>
      </c>
      <c r="N55" s="7"/>
      <c r="Y55" s="7"/>
    </row>
    <row r="56" spans="1:25" ht="15">
      <c r="A56" s="6">
        <v>35370</v>
      </c>
      <c r="B56" s="5">
        <v>17.3125</v>
      </c>
      <c r="C56" s="5">
        <v>19.6094</v>
      </c>
      <c r="D56" s="5">
        <v>757.02</v>
      </c>
      <c r="F56" s="10">
        <v>0.004200658545320413</v>
      </c>
      <c r="G56" s="10">
        <f t="shared" si="1"/>
        <v>0.06333587517181076</v>
      </c>
      <c r="H56" s="10">
        <f t="shared" si="4"/>
        <v>0.1336494187900406</v>
      </c>
      <c r="I56" s="10">
        <f t="shared" si="3"/>
        <v>0.0708089649496645</v>
      </c>
      <c r="N56" s="7"/>
      <c r="Y56" s="7"/>
    </row>
    <row r="57" spans="1:25" ht="15">
      <c r="A57" s="6">
        <v>35400</v>
      </c>
      <c r="B57" s="5">
        <v>14.3125</v>
      </c>
      <c r="C57" s="5">
        <v>20.6562</v>
      </c>
      <c r="D57" s="5">
        <v>740.74</v>
      </c>
      <c r="F57" s="10">
        <v>0.0040975870005374206</v>
      </c>
      <c r="G57" s="10">
        <f t="shared" si="1"/>
        <v>-0.19029550263309888</v>
      </c>
      <c r="H57" s="10">
        <f t="shared" si="4"/>
        <v>0.05200647336834543</v>
      </c>
      <c r="I57" s="10">
        <f t="shared" si="3"/>
        <v>-0.021739986636405875</v>
      </c>
      <c r="N57" s="7"/>
      <c r="Y57" s="7"/>
    </row>
    <row r="58" spans="1:25" ht="15">
      <c r="A58" s="6">
        <v>35431</v>
      </c>
      <c r="B58" s="5">
        <v>17.125</v>
      </c>
      <c r="C58" s="5">
        <v>25.5</v>
      </c>
      <c r="D58" s="5">
        <v>786.16</v>
      </c>
      <c r="F58" s="10">
        <v>0.004200658545320413</v>
      </c>
      <c r="G58" s="10">
        <f t="shared" si="1"/>
        <v>0.1794061028338305</v>
      </c>
      <c r="H58" s="10">
        <f t="shared" si="4"/>
        <v>0.21066293569023703</v>
      </c>
      <c r="I58" s="10">
        <f t="shared" si="3"/>
        <v>0.059510647522872405</v>
      </c>
      <c r="N58" s="7"/>
      <c r="Y58" s="7"/>
    </row>
    <row r="59" spans="1:25" ht="15">
      <c r="A59" s="6">
        <v>35462</v>
      </c>
      <c r="B59" s="5">
        <v>16.8125</v>
      </c>
      <c r="C59" s="5">
        <v>24.375</v>
      </c>
      <c r="D59" s="5">
        <v>790.82</v>
      </c>
      <c r="F59" s="10">
        <v>0.00417688411693421</v>
      </c>
      <c r="G59" s="10">
        <f t="shared" si="1"/>
        <v>-0.01841672678623115</v>
      </c>
      <c r="H59" s="10">
        <f t="shared" si="4"/>
        <v>-0.045120435280469544</v>
      </c>
      <c r="I59" s="10">
        <f t="shared" si="3"/>
        <v>0.005910047767196773</v>
      </c>
      <c r="N59" s="7"/>
      <c r="Y59" s="7"/>
    </row>
    <row r="60" spans="1:25" ht="15">
      <c r="A60" s="6">
        <v>35490</v>
      </c>
      <c r="B60" s="5">
        <v>14.8125</v>
      </c>
      <c r="C60" s="5">
        <v>22.9219</v>
      </c>
      <c r="D60" s="5">
        <v>757.12</v>
      </c>
      <c r="F60" s="10">
        <v>0.004287773465742912</v>
      </c>
      <c r="G60" s="10">
        <f t="shared" si="1"/>
        <v>-0.12665123846670798</v>
      </c>
      <c r="H60" s="10">
        <f t="shared" si="4"/>
        <v>-0.06146523143998241</v>
      </c>
      <c r="I60" s="10">
        <f t="shared" si="3"/>
        <v>-0.04354862047140087</v>
      </c>
      <c r="N60" s="7"/>
      <c r="Y60" s="7"/>
    </row>
    <row r="61" spans="1:25" ht="15">
      <c r="A61" s="6">
        <v>35521</v>
      </c>
      <c r="B61" s="5">
        <v>14.9375</v>
      </c>
      <c r="C61" s="5">
        <v>30.375</v>
      </c>
      <c r="D61" s="5">
        <v>801.34</v>
      </c>
      <c r="F61" s="10">
        <v>0.004303602762653108</v>
      </c>
      <c r="G61" s="10">
        <f t="shared" si="1"/>
        <v>0.00840341079637938</v>
      </c>
      <c r="H61" s="10">
        <f t="shared" si="4"/>
        <v>0.281527116216784</v>
      </c>
      <c r="I61" s="10">
        <f t="shared" si="3"/>
        <v>0.05676356506996887</v>
      </c>
      <c r="N61" s="7"/>
      <c r="Y61" s="7"/>
    </row>
    <row r="62" spans="1:25" ht="15">
      <c r="A62" s="6">
        <v>35551</v>
      </c>
      <c r="B62" s="5">
        <v>15.75</v>
      </c>
      <c r="C62" s="5">
        <v>31</v>
      </c>
      <c r="D62" s="5">
        <v>848.28</v>
      </c>
      <c r="F62" s="10">
        <v>0.004224426192959762</v>
      </c>
      <c r="G62" s="10">
        <f t="shared" si="1"/>
        <v>0.05296553557991272</v>
      </c>
      <c r="H62" s="10">
        <f t="shared" si="4"/>
        <v>0.020367302824433733</v>
      </c>
      <c r="I62" s="10">
        <f t="shared" si="3"/>
        <v>0.05692544355092693</v>
      </c>
      <c r="N62" s="7"/>
      <c r="Y62" s="7"/>
    </row>
    <row r="63" spans="1:25" ht="15">
      <c r="A63" s="6">
        <v>35582</v>
      </c>
      <c r="B63" s="5">
        <v>19.4688</v>
      </c>
      <c r="C63" s="5">
        <v>31.5938</v>
      </c>
      <c r="D63" s="5">
        <v>885.14</v>
      </c>
      <c r="F63" s="10">
        <v>0.004121384059382742</v>
      </c>
      <c r="G63" s="10">
        <f t="shared" si="1"/>
        <v>0.21197281893108522</v>
      </c>
      <c r="H63" s="10">
        <f t="shared" si="4"/>
        <v>0.018973694325839858</v>
      </c>
      <c r="I63" s="10">
        <f t="shared" si="3"/>
        <v>0.042535054616412785</v>
      </c>
      <c r="N63" s="7"/>
      <c r="Y63" s="7"/>
    </row>
    <row r="64" spans="1:25" ht="15">
      <c r="A64" s="6">
        <v>35612</v>
      </c>
      <c r="B64" s="5">
        <v>20.4688</v>
      </c>
      <c r="C64" s="5">
        <v>35.3438</v>
      </c>
      <c r="D64" s="5">
        <v>954.31</v>
      </c>
      <c r="F64" s="10">
        <v>0.004216504396924283</v>
      </c>
      <c r="G64" s="10">
        <f t="shared" si="1"/>
        <v>0.05008859137790611</v>
      </c>
      <c r="H64" s="10">
        <f t="shared" si="4"/>
        <v>0.11216208918168385</v>
      </c>
      <c r="I64" s="10">
        <f t="shared" si="3"/>
        <v>0.07524274166607597</v>
      </c>
      <c r="N64" s="7"/>
      <c r="Y64" s="7"/>
    </row>
    <row r="65" spans="1:25" ht="15">
      <c r="A65" s="6">
        <v>35643</v>
      </c>
      <c r="B65" s="5">
        <v>20.5</v>
      </c>
      <c r="C65" s="5">
        <v>33.0469</v>
      </c>
      <c r="D65" s="5">
        <v>899.47</v>
      </c>
      <c r="F65" s="10">
        <v>0.004287773465742912</v>
      </c>
      <c r="G65" s="10">
        <f t="shared" si="1"/>
        <v>0.0015231105637289332</v>
      </c>
      <c r="H65" s="10">
        <f t="shared" si="4"/>
        <v>-0.0671952233710676</v>
      </c>
      <c r="I65" s="10">
        <f t="shared" si="3"/>
        <v>-0.05918286528109512</v>
      </c>
      <c r="N65" s="7"/>
      <c r="Y65" s="7"/>
    </row>
    <row r="66" spans="1:25" ht="15">
      <c r="A66" s="6">
        <v>35674</v>
      </c>
      <c r="B66" s="5">
        <v>20.9062</v>
      </c>
      <c r="C66" s="5">
        <v>33.0781</v>
      </c>
      <c r="D66" s="5">
        <v>947.28</v>
      </c>
      <c r="F66" s="10">
        <v>0.004129314902437256</v>
      </c>
      <c r="G66" s="10">
        <f t="shared" si="1"/>
        <v>0.019620879551981975</v>
      </c>
      <c r="H66" s="10">
        <f t="shared" si="4"/>
        <v>0.000943667366814969</v>
      </c>
      <c r="I66" s="10">
        <f t="shared" si="3"/>
        <v>0.051789019050444966</v>
      </c>
      <c r="N66" s="7"/>
      <c r="Y66" s="7"/>
    </row>
    <row r="67" spans="1:25" ht="15">
      <c r="A67" s="6">
        <v>35704</v>
      </c>
      <c r="B67" s="5">
        <v>16.5</v>
      </c>
      <c r="C67" s="5">
        <v>32.5</v>
      </c>
      <c r="D67" s="5">
        <v>914.62</v>
      </c>
      <c r="F67" s="10">
        <v>0.004153102903930941</v>
      </c>
      <c r="G67" s="10">
        <f t="shared" si="1"/>
        <v>-0.23668538478980947</v>
      </c>
      <c r="H67" s="10">
        <f t="shared" si="4"/>
        <v>-0.017631342652725552</v>
      </c>
      <c r="I67" s="10">
        <f t="shared" si="3"/>
        <v>-0.03508604155478369</v>
      </c>
      <c r="N67" s="7"/>
      <c r="Y67" s="7"/>
    </row>
    <row r="68" spans="1:25" ht="15">
      <c r="A68" s="6">
        <v>35735</v>
      </c>
      <c r="B68" s="5">
        <v>17.4375</v>
      </c>
      <c r="C68" s="5">
        <v>35.375</v>
      </c>
      <c r="D68" s="5">
        <v>955.4</v>
      </c>
      <c r="F68" s="10">
        <v>0.004287773465742912</v>
      </c>
      <c r="G68" s="10">
        <f t="shared" si="1"/>
        <v>0.05526267867504952</v>
      </c>
      <c r="H68" s="10">
        <f t="shared" si="4"/>
        <v>0.0847652666277098</v>
      </c>
      <c r="I68" s="10">
        <f aca="true" t="shared" si="5" ref="I68:I103">LN(D68/D67)</f>
        <v>0.043621422487943796</v>
      </c>
      <c r="N68" s="7"/>
      <c r="Y68" s="7"/>
    </row>
    <row r="69" spans="1:25" ht="15">
      <c r="A69" s="6">
        <v>35765</v>
      </c>
      <c r="B69" s="5">
        <v>19.1875</v>
      </c>
      <c r="C69" s="5">
        <v>32.3125</v>
      </c>
      <c r="D69" s="5">
        <v>970.43</v>
      </c>
      <c r="F69" s="10">
        <v>0.004303602762653108</v>
      </c>
      <c r="G69" s="10">
        <f aca="true" t="shared" si="6" ref="G69:G103">LN(B69/B68)</f>
        <v>0.09563596576583158</v>
      </c>
      <c r="H69" s="10">
        <f aca="true" t="shared" si="7" ref="H69:H103">LN(C69/C68)</f>
        <v>-0.09055120369475375</v>
      </c>
      <c r="I69" s="10">
        <f t="shared" si="5"/>
        <v>0.015609171282679583</v>
      </c>
      <c r="N69" s="7"/>
      <c r="Y69" s="7"/>
    </row>
    <row r="70" spans="1:25" ht="15">
      <c r="A70" s="6">
        <v>35796</v>
      </c>
      <c r="B70" s="5">
        <v>18.2812</v>
      </c>
      <c r="C70" s="5">
        <v>37.2969</v>
      </c>
      <c r="D70" s="5">
        <v>980.28</v>
      </c>
      <c r="F70" s="10">
        <v>0.004208581847758979</v>
      </c>
      <c r="G70" s="10">
        <f t="shared" si="6"/>
        <v>-0.04838581596176132</v>
      </c>
      <c r="H70" s="10">
        <f t="shared" si="7"/>
        <v>0.14345606100773026</v>
      </c>
      <c r="I70" s="10">
        <f t="shared" si="5"/>
        <v>0.010098972903237103</v>
      </c>
      <c r="N70" s="7"/>
      <c r="Y70" s="7"/>
    </row>
    <row r="71" spans="1:25" ht="15">
      <c r="A71" s="6">
        <v>35827</v>
      </c>
      <c r="B71" s="5">
        <v>19.7812</v>
      </c>
      <c r="C71" s="5">
        <v>42.375</v>
      </c>
      <c r="D71" s="5">
        <v>1049.34</v>
      </c>
      <c r="F71" s="10">
        <v>0.0042481870637191095</v>
      </c>
      <c r="G71" s="10">
        <f t="shared" si="6"/>
        <v>0.07885878230947084</v>
      </c>
      <c r="H71" s="10">
        <f t="shared" si="7"/>
        <v>0.12764835242423628</v>
      </c>
      <c r="I71" s="10">
        <f t="shared" si="5"/>
        <v>0.06807842894737663</v>
      </c>
      <c r="N71" s="7"/>
      <c r="Y71" s="7"/>
    </row>
    <row r="72" spans="1:25" ht="15">
      <c r="A72" s="6">
        <v>35855</v>
      </c>
      <c r="B72" s="5">
        <v>22.6562</v>
      </c>
      <c r="C72" s="5">
        <v>44.75</v>
      </c>
      <c r="D72" s="5">
        <v>1101.75</v>
      </c>
      <c r="F72" s="10">
        <v>0.004192734489465804</v>
      </c>
      <c r="G72" s="10">
        <f t="shared" si="6"/>
        <v>0.13570155346083573</v>
      </c>
      <c r="H72" s="10">
        <f t="shared" si="7"/>
        <v>0.05453287902025006</v>
      </c>
      <c r="I72" s="10">
        <f t="shared" si="5"/>
        <v>0.04873842963294152</v>
      </c>
      <c r="N72" s="7"/>
      <c r="Y72" s="7"/>
    </row>
    <row r="73" spans="1:25" ht="15">
      <c r="A73" s="6">
        <v>35886</v>
      </c>
      <c r="B73" s="5">
        <v>24.0625</v>
      </c>
      <c r="C73" s="5">
        <v>45.0625</v>
      </c>
      <c r="D73" s="5">
        <v>1111.75</v>
      </c>
      <c r="F73" s="10">
        <v>0.004129314902437256</v>
      </c>
      <c r="G73" s="10">
        <f t="shared" si="6"/>
        <v>0.06022106689204183</v>
      </c>
      <c r="H73" s="10">
        <f t="shared" si="7"/>
        <v>0.0069589703243035225</v>
      </c>
      <c r="I73" s="10">
        <f t="shared" si="5"/>
        <v>0.009035525668709443</v>
      </c>
      <c r="N73" s="7"/>
      <c r="Y73" s="7"/>
    </row>
    <row r="74" spans="1:25" ht="15">
      <c r="A74" s="6">
        <v>35916</v>
      </c>
      <c r="B74" s="5">
        <v>24</v>
      </c>
      <c r="C74" s="5">
        <v>42.4062</v>
      </c>
      <c r="D74" s="5">
        <v>1090.82</v>
      </c>
      <c r="F74" s="10">
        <v>0.00417688411693421</v>
      </c>
      <c r="G74" s="10">
        <f t="shared" si="6"/>
        <v>-0.0026007817000573675</v>
      </c>
      <c r="H74" s="10">
        <f t="shared" si="7"/>
        <v>-0.060755837082201544</v>
      </c>
      <c r="I74" s="10">
        <f t="shared" si="5"/>
        <v>-0.019005643420609574</v>
      </c>
      <c r="N74" s="7"/>
      <c r="Y74" s="7"/>
    </row>
    <row r="75" spans="1:25" ht="15">
      <c r="A75" s="6">
        <v>35947</v>
      </c>
      <c r="B75" s="5">
        <v>26.7188</v>
      </c>
      <c r="C75" s="5">
        <v>54.1875</v>
      </c>
      <c r="D75" s="5">
        <v>1133.84</v>
      </c>
      <c r="F75" s="10">
        <v>0.00416103072901741</v>
      </c>
      <c r="G75" s="10">
        <f t="shared" si="6"/>
        <v>0.10731360713236639</v>
      </c>
      <c r="H75" s="10">
        <f t="shared" si="7"/>
        <v>0.24515567657779438</v>
      </c>
      <c r="I75" s="10">
        <f t="shared" si="5"/>
        <v>0.03868039488845361</v>
      </c>
      <c r="N75" s="7"/>
      <c r="Y75" s="7"/>
    </row>
    <row r="76" spans="1:25" ht="15">
      <c r="A76" s="6">
        <v>35977</v>
      </c>
      <c r="B76" s="5">
        <v>20.9375</v>
      </c>
      <c r="C76" s="5">
        <v>54.9688</v>
      </c>
      <c r="D76" s="5">
        <v>1120.67</v>
      </c>
      <c r="F76" s="10">
        <v>0.004137244990784463</v>
      </c>
      <c r="G76" s="10">
        <f t="shared" si="6"/>
        <v>-0.24382562789502688</v>
      </c>
      <c r="H76" s="10">
        <f t="shared" si="7"/>
        <v>0.01431549700438907</v>
      </c>
      <c r="I76" s="10">
        <f t="shared" si="5"/>
        <v>-0.011683381142634086</v>
      </c>
      <c r="N76" s="7"/>
      <c r="Y76" s="7"/>
    </row>
    <row r="77" spans="1:25" ht="15">
      <c r="A77" s="6">
        <v>36008</v>
      </c>
      <c r="B77" s="5">
        <v>15.7812</v>
      </c>
      <c r="C77" s="5">
        <v>47.9688</v>
      </c>
      <c r="D77" s="5">
        <v>957.28</v>
      </c>
      <c r="F77" s="10">
        <v>0.0040975870005374206</v>
      </c>
      <c r="G77" s="10">
        <f t="shared" si="6"/>
        <v>-0.2827224514315027</v>
      </c>
      <c r="H77" s="10">
        <f t="shared" si="7"/>
        <v>-0.13621495197884495</v>
      </c>
      <c r="I77" s="10">
        <f t="shared" si="5"/>
        <v>-0.15758607007429418</v>
      </c>
      <c r="N77" s="7"/>
      <c r="Y77" s="7"/>
    </row>
    <row r="78" spans="1:25" ht="15">
      <c r="A78" s="6">
        <v>36039</v>
      </c>
      <c r="B78" s="5">
        <v>18.0938</v>
      </c>
      <c r="C78" s="5">
        <v>55.0312</v>
      </c>
      <c r="D78" s="5">
        <v>1017.01</v>
      </c>
      <c r="F78" s="10">
        <v>0.003859241905270813</v>
      </c>
      <c r="G78" s="10">
        <f t="shared" si="6"/>
        <v>0.13674998000081492</v>
      </c>
      <c r="H78" s="10">
        <f t="shared" si="7"/>
        <v>0.13734949755508863</v>
      </c>
      <c r="I78" s="10">
        <f t="shared" si="5"/>
        <v>0.06052629920018749</v>
      </c>
      <c r="N78" s="7"/>
      <c r="Y78" s="7"/>
    </row>
    <row r="79" spans="1:25" ht="15">
      <c r="A79" s="6">
        <v>36069</v>
      </c>
      <c r="B79" s="5">
        <v>21.6875</v>
      </c>
      <c r="C79" s="5">
        <v>52.9375</v>
      </c>
      <c r="D79" s="5">
        <v>1098.67</v>
      </c>
      <c r="F79" s="10">
        <v>0.0033244636384729843</v>
      </c>
      <c r="G79" s="10">
        <f t="shared" si="6"/>
        <v>0.18116671955248057</v>
      </c>
      <c r="H79" s="10">
        <f t="shared" si="7"/>
        <v>-0.0387883247091202</v>
      </c>
      <c r="I79" s="10">
        <f t="shared" si="5"/>
        <v>0.07723340749532363</v>
      </c>
      <c r="N79" s="7"/>
      <c r="Y79" s="7"/>
    </row>
    <row r="80" spans="1:25" ht="15">
      <c r="A80" s="6">
        <v>36100</v>
      </c>
      <c r="B80" s="5">
        <v>23.0625</v>
      </c>
      <c r="C80" s="5">
        <v>61</v>
      </c>
      <c r="D80" s="5">
        <v>1163.63</v>
      </c>
      <c r="F80" s="10">
        <v>0.0036919937963770435</v>
      </c>
      <c r="G80" s="10">
        <f t="shared" si="6"/>
        <v>0.061471864093668</v>
      </c>
      <c r="H80" s="10">
        <f t="shared" si="7"/>
        <v>0.1417618917610381</v>
      </c>
      <c r="I80" s="10">
        <f t="shared" si="5"/>
        <v>0.05744407200715167</v>
      </c>
      <c r="N80" s="7"/>
      <c r="Y80" s="7"/>
    </row>
    <row r="81" spans="1:25" ht="15">
      <c r="A81" s="6">
        <v>36130</v>
      </c>
      <c r="B81" s="5">
        <v>28.0625</v>
      </c>
      <c r="C81" s="5">
        <v>69.3438</v>
      </c>
      <c r="D81" s="5">
        <v>1229.23</v>
      </c>
      <c r="F81" s="10">
        <v>0.003668073784731278</v>
      </c>
      <c r="G81" s="10">
        <f t="shared" si="6"/>
        <v>0.19622624370172717</v>
      </c>
      <c r="H81" s="10">
        <f t="shared" si="7"/>
        <v>0.1282028770048122</v>
      </c>
      <c r="I81" s="10">
        <f t="shared" si="5"/>
        <v>0.054843527731920916</v>
      </c>
      <c r="N81" s="7"/>
      <c r="Y81" s="7"/>
    </row>
    <row r="82" spans="1:25" ht="15">
      <c r="A82" s="6">
        <v>36161</v>
      </c>
      <c r="B82" s="5">
        <v>26.0312</v>
      </c>
      <c r="C82" s="5">
        <v>87.5</v>
      </c>
      <c r="D82" s="5">
        <v>1279.64</v>
      </c>
      <c r="F82" s="10">
        <v>0.0036281918345401985</v>
      </c>
      <c r="G82" s="10">
        <f t="shared" si="6"/>
        <v>-0.07513834690550898</v>
      </c>
      <c r="H82" s="10">
        <f t="shared" si="7"/>
        <v>0.23256205218544523</v>
      </c>
      <c r="I82" s="10">
        <f t="shared" si="5"/>
        <v>0.040190831279158935</v>
      </c>
      <c r="N82" s="7"/>
      <c r="Y82" s="7"/>
    </row>
    <row r="83" spans="1:25" ht="15">
      <c r="A83" s="6">
        <v>36192</v>
      </c>
      <c r="B83" s="5">
        <v>26.4375</v>
      </c>
      <c r="C83" s="5">
        <v>75.0625</v>
      </c>
      <c r="D83" s="5">
        <v>1238.33</v>
      </c>
      <c r="F83" s="10">
        <v>0.003715906943989699</v>
      </c>
      <c r="G83" s="10">
        <f t="shared" si="6"/>
        <v>0.015487638209532702</v>
      </c>
      <c r="H83" s="10">
        <f t="shared" si="7"/>
        <v>-0.1533176935233664</v>
      </c>
      <c r="I83" s="10">
        <f t="shared" si="5"/>
        <v>-0.032815090665377786</v>
      </c>
      <c r="N83" s="7"/>
      <c r="Y83" s="7"/>
    </row>
    <row r="84" spans="1:25" ht="15">
      <c r="A84" s="6">
        <v>36220</v>
      </c>
      <c r="B84" s="5">
        <v>28.0625</v>
      </c>
      <c r="C84" s="5">
        <v>89.625</v>
      </c>
      <c r="D84" s="5">
        <v>1286.37</v>
      </c>
      <c r="F84" s="10">
        <v>0.003723876468533881</v>
      </c>
      <c r="G84" s="10">
        <f t="shared" si="6"/>
        <v>0.059650708695976405</v>
      </c>
      <c r="H84" s="10">
        <f t="shared" si="7"/>
        <v>0.1773131990795821</v>
      </c>
      <c r="I84" s="10">
        <f t="shared" si="5"/>
        <v>0.03806060056715658</v>
      </c>
      <c r="N84" s="7"/>
      <c r="Y84" s="7"/>
    </row>
    <row r="85" spans="1:25" ht="15">
      <c r="A85" s="6">
        <v>36251</v>
      </c>
      <c r="B85" s="5">
        <v>36.9375</v>
      </c>
      <c r="C85" s="5">
        <v>81.3125</v>
      </c>
      <c r="D85" s="5">
        <v>1335.18</v>
      </c>
      <c r="F85" s="10">
        <v>0.003596272526160636</v>
      </c>
      <c r="G85" s="10">
        <f t="shared" si="6"/>
        <v>0.27479312966384384</v>
      </c>
      <c r="H85" s="10">
        <f t="shared" si="7"/>
        <v>-0.09733454264706044</v>
      </c>
      <c r="I85" s="10">
        <f t="shared" si="5"/>
        <v>0.037241815948836486</v>
      </c>
      <c r="N85" s="7"/>
      <c r="Y85" s="7"/>
    </row>
    <row r="86" spans="1:25" ht="15">
      <c r="A86" s="6">
        <v>36281</v>
      </c>
      <c r="B86" s="5">
        <v>36.875</v>
      </c>
      <c r="C86" s="5">
        <v>80.6875</v>
      </c>
      <c r="D86" s="5">
        <v>1301.84</v>
      </c>
      <c r="F86" s="10">
        <v>0.0037716776170721215</v>
      </c>
      <c r="G86" s="10">
        <f t="shared" si="6"/>
        <v>-0.0016934805063330315</v>
      </c>
      <c r="H86" s="10">
        <f t="shared" si="7"/>
        <v>-0.007716087665862747</v>
      </c>
      <c r="I86" s="10">
        <f t="shared" si="5"/>
        <v>-0.025287465853720853</v>
      </c>
      <c r="N86" s="7"/>
      <c r="Y86" s="7"/>
    </row>
    <row r="87" spans="1:25" ht="15">
      <c r="A87" s="6">
        <v>36312</v>
      </c>
      <c r="B87" s="5">
        <v>37.5625</v>
      </c>
      <c r="C87" s="5">
        <v>90.1875</v>
      </c>
      <c r="D87" s="5">
        <v>1372.71</v>
      </c>
      <c r="F87" s="10">
        <v>0.0038433279677961645</v>
      </c>
      <c r="G87" s="10">
        <f t="shared" si="6"/>
        <v>0.01847239763544248</v>
      </c>
      <c r="H87" s="10">
        <f t="shared" si="7"/>
        <v>0.11130716792722838</v>
      </c>
      <c r="I87" s="10">
        <f t="shared" si="5"/>
        <v>0.05300823979166552</v>
      </c>
      <c r="N87" s="7"/>
      <c r="Y87" s="7"/>
    </row>
    <row r="88" spans="1:26" ht="15">
      <c r="A88" s="6">
        <v>36342</v>
      </c>
      <c r="B88" s="5">
        <v>23.25</v>
      </c>
      <c r="C88" s="5">
        <v>85.8125</v>
      </c>
      <c r="D88" s="5">
        <v>1328.72</v>
      </c>
      <c r="F88" s="10">
        <v>0.0038194513619309463</v>
      </c>
      <c r="G88" s="10">
        <f t="shared" si="6"/>
        <v>-0.47970108026206104</v>
      </c>
      <c r="H88" s="10">
        <f t="shared" si="7"/>
        <v>-0.04972615300589979</v>
      </c>
      <c r="I88" s="10">
        <f t="shared" si="5"/>
        <v>-0.03257081535328095</v>
      </c>
      <c r="N88" s="7"/>
      <c r="Y88" s="7"/>
      <c r="Z88" s="7"/>
    </row>
    <row r="89" spans="1:26" ht="15">
      <c r="A89" s="6">
        <v>36373</v>
      </c>
      <c r="B89" s="5">
        <v>22.875</v>
      </c>
      <c r="C89" s="5">
        <v>92.5625</v>
      </c>
      <c r="D89" s="5">
        <v>1320.41</v>
      </c>
      <c r="F89" s="10">
        <v>0.003962608488185215</v>
      </c>
      <c r="G89" s="10">
        <f t="shared" si="6"/>
        <v>-0.01626052087178029</v>
      </c>
      <c r="H89" s="10">
        <f t="shared" si="7"/>
        <v>0.07571940849982771</v>
      </c>
      <c r="I89" s="10">
        <f t="shared" si="5"/>
        <v>-0.006273778377796873</v>
      </c>
      <c r="N89" s="7"/>
      <c r="Y89" s="7"/>
      <c r="Z89" s="7"/>
    </row>
    <row r="90" spans="1:26" ht="15">
      <c r="A90" s="6">
        <v>36404</v>
      </c>
      <c r="B90" s="5">
        <v>24.7812</v>
      </c>
      <c r="C90" s="5">
        <v>90.5625</v>
      </c>
      <c r="D90" s="5">
        <v>1282.71</v>
      </c>
      <c r="F90" s="10">
        <v>0.0039228672821606915</v>
      </c>
      <c r="G90" s="10">
        <f t="shared" si="6"/>
        <v>0.08004069001702417</v>
      </c>
      <c r="H90" s="10">
        <f t="shared" si="7"/>
        <v>-0.021843871947116438</v>
      </c>
      <c r="I90" s="10">
        <f t="shared" si="5"/>
        <v>-0.028967267082334575</v>
      </c>
      <c r="N90" s="7"/>
      <c r="Y90" s="7"/>
      <c r="Z90" s="7"/>
    </row>
    <row r="91" spans="1:26" ht="15">
      <c r="A91" s="6">
        <v>36434</v>
      </c>
      <c r="B91" s="5">
        <v>27.1875</v>
      </c>
      <c r="C91" s="5">
        <v>92.5625</v>
      </c>
      <c r="D91" s="5">
        <v>1362.93</v>
      </c>
      <c r="F91" s="10">
        <v>0.004081718518468449</v>
      </c>
      <c r="G91" s="10">
        <f t="shared" si="6"/>
        <v>0.0926720076702937</v>
      </c>
      <c r="H91" s="10">
        <f t="shared" si="7"/>
        <v>0.02184387194711647</v>
      </c>
      <c r="I91" s="10">
        <f t="shared" si="5"/>
        <v>0.06066176674701588</v>
      </c>
      <c r="N91" s="7"/>
      <c r="Y91" s="7"/>
      <c r="Z91" s="7"/>
    </row>
    <row r="92" spans="1:26" ht="15">
      <c r="A92" s="6">
        <v>36465</v>
      </c>
      <c r="B92" s="5">
        <v>26.5625</v>
      </c>
      <c r="C92" s="5">
        <v>91.0469</v>
      </c>
      <c r="D92" s="5">
        <v>1388.91</v>
      </c>
      <c r="F92" s="10">
        <v>0.0042481870637191095</v>
      </c>
      <c r="G92" s="10">
        <f t="shared" si="6"/>
        <v>-0.023256862164267235</v>
      </c>
      <c r="H92" s="10">
        <f t="shared" si="7"/>
        <v>-0.01650933366081909</v>
      </c>
      <c r="I92" s="10">
        <f t="shared" si="5"/>
        <v>0.018882472761026243</v>
      </c>
      <c r="N92" s="7"/>
      <c r="Y92" s="7"/>
      <c r="Z92" s="7"/>
    </row>
    <row r="93" spans="1:26" ht="15">
      <c r="A93" s="6">
        <v>36495</v>
      </c>
      <c r="B93" s="5">
        <v>24.25</v>
      </c>
      <c r="C93" s="5">
        <v>116.75</v>
      </c>
      <c r="D93" s="5">
        <v>1469.25</v>
      </c>
      <c r="F93" s="10">
        <v>0.004351072620577843</v>
      </c>
      <c r="G93" s="10">
        <f t="shared" si="6"/>
        <v>-0.09108382930114337</v>
      </c>
      <c r="H93" s="10">
        <f t="shared" si="7"/>
        <v>0.2486601381818082</v>
      </c>
      <c r="I93" s="10">
        <f t="shared" si="5"/>
        <v>0.05623279965410548</v>
      </c>
      <c r="N93" s="7"/>
      <c r="Y93" s="7"/>
      <c r="Z93" s="7"/>
    </row>
    <row r="94" spans="1:26" ht="15">
      <c r="A94" s="6">
        <v>36526</v>
      </c>
      <c r="B94" s="5">
        <v>32</v>
      </c>
      <c r="C94" s="5">
        <v>97.875</v>
      </c>
      <c r="D94" s="5">
        <v>1394.46</v>
      </c>
      <c r="F94" s="10">
        <v>0.004461730577335827</v>
      </c>
      <c r="G94" s="10">
        <f t="shared" si="6"/>
        <v>0.27731928541623435</v>
      </c>
      <c r="H94" s="10">
        <f t="shared" si="7"/>
        <v>-0.17634374223803953</v>
      </c>
      <c r="I94" s="10">
        <f t="shared" si="5"/>
        <v>-0.052244822952783904</v>
      </c>
      <c r="N94" s="7"/>
      <c r="Y94" s="7"/>
      <c r="Z94" s="7"/>
    </row>
    <row r="95" spans="1:26" ht="15">
      <c r="A95" s="6">
        <v>36557</v>
      </c>
      <c r="B95" s="5">
        <v>35.125</v>
      </c>
      <c r="C95" s="5">
        <v>89.375</v>
      </c>
      <c r="D95" s="5">
        <v>1366.42</v>
      </c>
      <c r="F95" s="10">
        <v>0.0046432073963620065</v>
      </c>
      <c r="G95" s="10">
        <f t="shared" si="6"/>
        <v>0.0931772248541833</v>
      </c>
      <c r="H95" s="10">
        <f t="shared" si="7"/>
        <v>-0.09085015329679548</v>
      </c>
      <c r="I95" s="10">
        <f t="shared" si="5"/>
        <v>-0.02031306261044836</v>
      </c>
      <c r="N95" s="7"/>
      <c r="Y95" s="7"/>
      <c r="Z95" s="7"/>
    </row>
    <row r="96" spans="1:26" ht="15">
      <c r="A96" s="6">
        <v>36586</v>
      </c>
      <c r="B96" s="5">
        <v>44.8125</v>
      </c>
      <c r="C96" s="5">
        <v>106.25</v>
      </c>
      <c r="D96" s="5">
        <v>1498.58</v>
      </c>
      <c r="F96" s="10">
        <v>0.004745606703479079</v>
      </c>
      <c r="G96" s="10">
        <f t="shared" si="6"/>
        <v>0.24357399070592925</v>
      </c>
      <c r="H96" s="10">
        <f t="shared" si="7"/>
        <v>0.17295380679035444</v>
      </c>
      <c r="I96" s="10">
        <f t="shared" si="5"/>
        <v>0.09232381212222356</v>
      </c>
      <c r="N96" s="7"/>
      <c r="Y96" s="7"/>
      <c r="Z96" s="7"/>
    </row>
    <row r="97" spans="1:26" ht="15">
      <c r="A97" s="6">
        <v>36617</v>
      </c>
      <c r="B97" s="5">
        <v>30.2344</v>
      </c>
      <c r="C97" s="5">
        <v>69.75</v>
      </c>
      <c r="D97" s="5">
        <v>1452.43</v>
      </c>
      <c r="F97" s="10">
        <v>0.004714112623991256</v>
      </c>
      <c r="G97" s="10">
        <f t="shared" si="6"/>
        <v>-0.39350676938258555</v>
      </c>
      <c r="H97" s="10">
        <f t="shared" si="7"/>
        <v>-0.42087738710305117</v>
      </c>
      <c r="I97" s="10">
        <f t="shared" si="5"/>
        <v>-0.03127997725807787</v>
      </c>
      <c r="N97" s="7"/>
      <c r="Y97" s="7"/>
      <c r="Z97" s="7"/>
    </row>
    <row r="98" spans="1:26" ht="15">
      <c r="A98" s="6">
        <v>36647</v>
      </c>
      <c r="B98" s="5">
        <v>34</v>
      </c>
      <c r="C98" s="5">
        <v>62.5625</v>
      </c>
      <c r="D98" s="5">
        <v>1420.6</v>
      </c>
      <c r="F98" s="10">
        <v>0.004847880337589423</v>
      </c>
      <c r="G98" s="10">
        <f t="shared" si="6"/>
        <v>0.11738017563890785</v>
      </c>
      <c r="H98" s="10">
        <f t="shared" si="7"/>
        <v>-0.1087513636260356</v>
      </c>
      <c r="I98" s="10">
        <f t="shared" si="5"/>
        <v>-0.022158698229963615</v>
      </c>
      <c r="N98" s="7"/>
      <c r="Y98" s="7"/>
      <c r="Z98" s="7"/>
    </row>
    <row r="99" spans="1:26" ht="15">
      <c r="A99" s="6">
        <v>36678</v>
      </c>
      <c r="B99" s="5">
        <v>38.1875</v>
      </c>
      <c r="C99" s="5">
        <v>80</v>
      </c>
      <c r="D99" s="5">
        <v>1454.6</v>
      </c>
      <c r="F99" s="10">
        <v>0.004745606703479079</v>
      </c>
      <c r="G99" s="10">
        <f t="shared" si="6"/>
        <v>0.1161477123156526</v>
      </c>
      <c r="H99" s="10">
        <f t="shared" si="7"/>
        <v>0.24586057759844226</v>
      </c>
      <c r="I99" s="10">
        <f t="shared" si="5"/>
        <v>0.02365163115673065</v>
      </c>
      <c r="N99" s="7"/>
      <c r="Y99" s="7"/>
      <c r="Z99" s="7"/>
    </row>
    <row r="100" spans="1:26" ht="15">
      <c r="A100" s="6">
        <v>36708</v>
      </c>
      <c r="B100" s="5">
        <v>37.5</v>
      </c>
      <c r="C100" s="5">
        <v>69.8125</v>
      </c>
      <c r="D100" s="5">
        <v>1430.83</v>
      </c>
      <c r="F100" s="10">
        <v>0.0049657326176382206</v>
      </c>
      <c r="G100" s="10">
        <f t="shared" si="6"/>
        <v>-0.018167303955448938</v>
      </c>
      <c r="H100" s="10">
        <f t="shared" si="7"/>
        <v>-0.13621355784446212</v>
      </c>
      <c r="I100" s="10">
        <f t="shared" si="5"/>
        <v>-0.01647625326436223</v>
      </c>
      <c r="N100" s="7"/>
      <c r="Y100" s="7"/>
      <c r="Z100" s="7"/>
    </row>
    <row r="101" spans="1:26" ht="15">
      <c r="A101" s="6">
        <v>36739</v>
      </c>
      <c r="B101" s="5">
        <v>36.625</v>
      </c>
      <c r="C101" s="5">
        <v>69.8125</v>
      </c>
      <c r="D101" s="5">
        <v>1517.68</v>
      </c>
      <c r="F101" s="10">
        <v>0.005075577908626861</v>
      </c>
      <c r="G101" s="10">
        <f t="shared" si="6"/>
        <v>-0.023609865639133736</v>
      </c>
      <c r="H101" s="10">
        <f t="shared" si="7"/>
        <v>0</v>
      </c>
      <c r="I101" s="10">
        <f t="shared" si="5"/>
        <v>0.05892815758821184</v>
      </c>
      <c r="N101" s="7"/>
      <c r="Y101" s="7"/>
      <c r="Z101" s="7"/>
    </row>
    <row r="102" spans="1:26" ht="15">
      <c r="A102" s="6">
        <v>36770</v>
      </c>
      <c r="B102" s="5">
        <v>40.0625</v>
      </c>
      <c r="C102" s="5">
        <v>60.3125</v>
      </c>
      <c r="D102" s="5">
        <v>1436.51</v>
      </c>
      <c r="F102" s="10">
        <v>0.004997131763952748</v>
      </c>
      <c r="G102" s="10">
        <f t="shared" si="6"/>
        <v>0.08970966734365739</v>
      </c>
      <c r="H102" s="10">
        <f t="shared" si="7"/>
        <v>-0.14627369773021476</v>
      </c>
      <c r="I102" s="10">
        <f t="shared" si="5"/>
        <v>-0.054966292284748544</v>
      </c>
      <c r="N102" s="7"/>
      <c r="Y102" s="7"/>
      <c r="Z102" s="7"/>
    </row>
    <row r="103" spans="1:28" ht="15">
      <c r="A103" s="6">
        <v>36800</v>
      </c>
      <c r="B103" s="5">
        <v>44.6875</v>
      </c>
      <c r="C103" s="5">
        <v>68.875</v>
      </c>
      <c r="D103" s="5">
        <v>1429.4</v>
      </c>
      <c r="F103" s="10">
        <v>0.005083418463116508</v>
      </c>
      <c r="G103" s="10">
        <f t="shared" si="6"/>
        <v>0.1092530857733377</v>
      </c>
      <c r="H103" s="10">
        <f t="shared" si="7"/>
        <v>0.1327538883738738</v>
      </c>
      <c r="I103" s="10">
        <f t="shared" si="5"/>
        <v>-0.004961784973662941</v>
      </c>
      <c r="Y103" s="7"/>
      <c r="Z103" s="7"/>
      <c r="AB103" s="8"/>
    </row>
    <row r="104" spans="1:28" ht="15">
      <c r="A104" s="6"/>
      <c r="H104" s="7"/>
      <c r="I104" s="7"/>
      <c r="Z104" s="7"/>
      <c r="AB104" s="9"/>
    </row>
    <row r="105" spans="1:26" ht="15">
      <c r="A105" s="6"/>
      <c r="Z105" s="7"/>
    </row>
    <row r="106" ht="15">
      <c r="Z106" s="7"/>
    </row>
    <row r="107" ht="15">
      <c r="Z107" s="7"/>
    </row>
    <row r="108" ht="15">
      <c r="Z108" s="7"/>
    </row>
    <row r="109" ht="15">
      <c r="Z109" s="7"/>
    </row>
    <row r="110" ht="15">
      <c r="Z110" s="7"/>
    </row>
    <row r="111" ht="15">
      <c r="Z111" s="7"/>
    </row>
    <row r="112" ht="15">
      <c r="Z112" s="7"/>
    </row>
    <row r="113" ht="15">
      <c r="Z113" s="7"/>
    </row>
    <row r="114" ht="15">
      <c r="Z114" s="7"/>
    </row>
    <row r="115" ht="15">
      <c r="Z115" s="7"/>
    </row>
    <row r="116" ht="15">
      <c r="Z116" s="7"/>
    </row>
    <row r="117" ht="15">
      <c r="Z117" s="7"/>
    </row>
    <row r="118" ht="15">
      <c r="Z118" s="7"/>
    </row>
    <row r="119" ht="15">
      <c r="Z119" s="7"/>
    </row>
    <row r="120" ht="15">
      <c r="Z120" s="7"/>
    </row>
    <row r="121" ht="15">
      <c r="Z121" s="7"/>
    </row>
    <row r="122" ht="15">
      <c r="Z122" s="7"/>
    </row>
    <row r="123" ht="15">
      <c r="Z123" s="7"/>
    </row>
    <row r="124" ht="15">
      <c r="Z124" s="7"/>
    </row>
    <row r="125" ht="15">
      <c r="Z125" s="7"/>
    </row>
    <row r="126" ht="15">
      <c r="Z126" s="7"/>
    </row>
    <row r="127" ht="15">
      <c r="Z127" s="7"/>
    </row>
    <row r="128" ht="15">
      <c r="Z128" s="7"/>
    </row>
    <row r="129" ht="15">
      <c r="Z129" s="7"/>
    </row>
    <row r="130" ht="15">
      <c r="Z130" s="7"/>
    </row>
    <row r="131" ht="15">
      <c r="Z131" s="7"/>
    </row>
    <row r="132" ht="15">
      <c r="Z132" s="7"/>
    </row>
    <row r="133" ht="15">
      <c r="Z133" s="7"/>
    </row>
    <row r="134" ht="15">
      <c r="Z134" s="7"/>
    </row>
    <row r="135" ht="15">
      <c r="Z135" s="7"/>
    </row>
    <row r="136" ht="15">
      <c r="Z136" s="7"/>
    </row>
    <row r="137" ht="15">
      <c r="Z137" s="7"/>
    </row>
    <row r="138" ht="15">
      <c r="Z138" s="7"/>
    </row>
    <row r="139" ht="15">
      <c r="Z139" s="7"/>
    </row>
    <row r="140" ht="15">
      <c r="Z140" s="7"/>
    </row>
    <row r="141" ht="15">
      <c r="Z141" s="7"/>
    </row>
    <row r="142" ht="15">
      <c r="Z142" s="7"/>
    </row>
    <row r="143" ht="15">
      <c r="Z143" s="7"/>
    </row>
    <row r="144" ht="15">
      <c r="Z144" s="7"/>
    </row>
    <row r="145" ht="15">
      <c r="Z145" s="7"/>
    </row>
    <row r="146" ht="15">
      <c r="Z146" s="7"/>
    </row>
    <row r="147" ht="15">
      <c r="Z147" s="7"/>
    </row>
    <row r="148" ht="15">
      <c r="Z148" s="7"/>
    </row>
    <row r="149" ht="15">
      <c r="Z149" s="7"/>
    </row>
    <row r="150" ht="15">
      <c r="Z150" s="7"/>
    </row>
    <row r="151" ht="15">
      <c r="Z151" s="7"/>
    </row>
    <row r="152" ht="15">
      <c r="Z152" s="7"/>
    </row>
    <row r="153" ht="15">
      <c r="Z153" s="7"/>
    </row>
    <row r="154" ht="15">
      <c r="Z154" s="7"/>
    </row>
    <row r="155" ht="15">
      <c r="Z155" s="7"/>
    </row>
    <row r="156" ht="15">
      <c r="Z156" s="7"/>
    </row>
    <row r="157" ht="15">
      <c r="Z157" s="7"/>
    </row>
    <row r="158" ht="15">
      <c r="Z158" s="7"/>
    </row>
    <row r="159" ht="15">
      <c r="Z159" s="7"/>
    </row>
    <row r="160" ht="15">
      <c r="Z160" s="7"/>
    </row>
    <row r="161" ht="15">
      <c r="Z161" s="7"/>
    </row>
    <row r="162" ht="15">
      <c r="Z162" s="7"/>
    </row>
    <row r="163" ht="15">
      <c r="Z163" s="7"/>
    </row>
    <row r="164" ht="15">
      <c r="Z164" s="7"/>
    </row>
    <row r="165" ht="15">
      <c r="Z165" s="7"/>
    </row>
    <row r="166" ht="15">
      <c r="Z166" s="7"/>
    </row>
    <row r="167" ht="15">
      <c r="Z167" s="7"/>
    </row>
    <row r="168" ht="15">
      <c r="Z168" s="7"/>
    </row>
    <row r="169" ht="15">
      <c r="Z169" s="7"/>
    </row>
    <row r="170" ht="15">
      <c r="Z170" s="7"/>
    </row>
    <row r="171" ht="15">
      <c r="Z171" s="7"/>
    </row>
    <row r="172" ht="15">
      <c r="Z172" s="7"/>
    </row>
    <row r="173" ht="15">
      <c r="Z173" s="7"/>
    </row>
    <row r="174" ht="15">
      <c r="Z174" s="7"/>
    </row>
    <row r="175" ht="15">
      <c r="Z175" s="7"/>
    </row>
    <row r="176" ht="15">
      <c r="Z176" s="7"/>
    </row>
    <row r="177" ht="15">
      <c r="Z177" s="7"/>
    </row>
    <row r="178" ht="15">
      <c r="Z178" s="7"/>
    </row>
    <row r="179" ht="15">
      <c r="Z179" s="7"/>
    </row>
    <row r="180" ht="15">
      <c r="Z180" s="7"/>
    </row>
    <row r="181" ht="15">
      <c r="Z181" s="7"/>
    </row>
    <row r="182" ht="15">
      <c r="Z182" s="7"/>
    </row>
    <row r="183" ht="15">
      <c r="Z183" s="7"/>
    </row>
    <row r="184" ht="15">
      <c r="Z184" s="7"/>
    </row>
    <row r="185" ht="15">
      <c r="Z185" s="7"/>
    </row>
    <row r="186" ht="15">
      <c r="Z186" s="7"/>
    </row>
    <row r="187" ht="15">
      <c r="Z187" s="7"/>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28" sqref="L28"/>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N2:O4"/>
  <sheetViews>
    <sheetView workbookViewId="0" topLeftCell="A1">
      <selection activeCell="R12" sqref="R12"/>
    </sheetView>
  </sheetViews>
  <sheetFormatPr defaultColWidth="9.140625" defaultRowHeight="12.75"/>
  <sheetData>
    <row r="2" ht="12.75">
      <c r="N2" s="20" t="s">
        <v>63</v>
      </c>
    </row>
    <row r="3" spans="14:15" ht="15.75">
      <c r="N3" s="14" t="s">
        <v>64</v>
      </c>
      <c r="O3" s="14" t="s">
        <v>65</v>
      </c>
    </row>
    <row r="4" spans="14:15" ht="12.75">
      <c r="N4" s="13">
        <f>COVAR(rmsft,rsbux)</f>
        <v>0.003990262493366455</v>
      </c>
      <c r="O4" s="13">
        <f>CORREL(rsbux,rmsft)</f>
        <v>0.2777135542056058</v>
      </c>
    </row>
  </sheetData>
  <printOptions/>
  <pageMargins left="0.75" right="0.75" top="1" bottom="1" header="0.5" footer="0.5"/>
  <pageSetup orientation="portrait" paperSize="9"/>
  <drawing r:id="rId4"/>
  <legacyDrawing r:id="rId3"/>
  <oleObjects>
    <oleObject progId="Equation.DSMT4" shapeId="51997" r:id="rId1"/>
    <oleObject progId="Equation.DSMT4" shapeId="63893" r:id="rId2"/>
  </oleObjects>
</worksheet>
</file>

<file path=xl/worksheets/sheet4.xml><?xml version="1.0" encoding="utf-8"?>
<worksheet xmlns="http://schemas.openxmlformats.org/spreadsheetml/2006/main" xmlns:r="http://schemas.openxmlformats.org/officeDocument/2006/relationships">
  <dimension ref="B2:K38"/>
  <sheetViews>
    <sheetView tabSelected="1" workbookViewId="0" topLeftCell="A1">
      <selection activeCell="R13" sqref="R13"/>
    </sheetView>
  </sheetViews>
  <sheetFormatPr defaultColWidth="9.140625" defaultRowHeight="12.75"/>
  <cols>
    <col min="2" max="2" width="17.8515625" style="0" bestFit="1" customWidth="1"/>
    <col min="3" max="3" width="19.140625" style="0" bestFit="1" customWidth="1"/>
    <col min="10" max="10" width="17.8515625" style="0" bestFit="1" customWidth="1"/>
    <col min="11" max="11" width="19.140625" style="0" bestFit="1" customWidth="1"/>
  </cols>
  <sheetData>
    <row r="2" ht="12.75">
      <c r="K2" s="16" t="s">
        <v>54</v>
      </c>
    </row>
    <row r="3" ht="12.75">
      <c r="K3" s="14" t="s">
        <v>5</v>
      </c>
    </row>
    <row r="4" spans="10:11" ht="12.75">
      <c r="J4" t="s">
        <v>36</v>
      </c>
      <c r="K4" s="15">
        <f>COUNT(rmsft)</f>
        <v>100</v>
      </c>
    </row>
    <row r="5" spans="10:11" ht="12.75">
      <c r="J5" t="s">
        <v>37</v>
      </c>
      <c r="K5" s="1">
        <f>SUM(rmsft)</f>
        <v>2.7563867476635004</v>
      </c>
    </row>
    <row r="6" spans="10:11" ht="12.75">
      <c r="J6" t="s">
        <v>38</v>
      </c>
      <c r="K6" s="18">
        <f>AVERAGE(rmsft)</f>
        <v>0.027563867476635005</v>
      </c>
    </row>
    <row r="7" spans="10:11" ht="12.75">
      <c r="J7" t="s">
        <v>39</v>
      </c>
      <c r="K7" s="18">
        <f>QUARTILE(rmsft,2)</f>
        <v>0.02185133287980774</v>
      </c>
    </row>
    <row r="8" spans="10:11" ht="12.75">
      <c r="J8" t="s">
        <v>40</v>
      </c>
      <c r="K8" s="1" t="e">
        <f>[1]!modevalue(rmsft)</f>
        <v>#N/A</v>
      </c>
    </row>
    <row r="9" spans="10:11" ht="12.75">
      <c r="J9" t="s">
        <v>41</v>
      </c>
      <c r="K9" s="17">
        <f>TRIMMEAN(rmsft,0.2)</f>
        <v>0.02917955201493349</v>
      </c>
    </row>
    <row r="10" spans="10:11" ht="12.75">
      <c r="J10" t="s">
        <v>55</v>
      </c>
      <c r="K10" s="17">
        <f>MIN(rmsft)</f>
        <v>-0.42087738710305117</v>
      </c>
    </row>
    <row r="11" spans="10:11" ht="12.75">
      <c r="J11" t="s">
        <v>56</v>
      </c>
      <c r="K11" s="17">
        <f>MAX(rmsft)</f>
        <v>0.281527116216784</v>
      </c>
    </row>
    <row r="12" spans="10:11" ht="12.75">
      <c r="J12" t="s">
        <v>57</v>
      </c>
      <c r="K12" s="17">
        <f>[1]!RANGEVALUE(rmsft)</f>
        <v>0.7024045033198352</v>
      </c>
    </row>
    <row r="13" spans="10:11" ht="12.75">
      <c r="J13" t="s">
        <v>58</v>
      </c>
      <c r="K13" s="18">
        <f>STDEV(rmsft)</f>
        <v>0.10682343525782151</v>
      </c>
    </row>
    <row r="14" spans="10:11" ht="12.75">
      <c r="J14" t="s">
        <v>59</v>
      </c>
      <c r="K14" s="18">
        <f>VAR(rmsft)</f>
        <v>0.011411246320281985</v>
      </c>
    </row>
    <row r="15" spans="10:11" ht="12.75">
      <c r="J15" t="s">
        <v>60</v>
      </c>
      <c r="K15" s="17">
        <f>[1]!se(rmsft)</f>
        <v>0.01068234352578215</v>
      </c>
    </row>
    <row r="16" spans="10:11" ht="12.75">
      <c r="J16" t="s">
        <v>61</v>
      </c>
      <c r="K16" s="19">
        <f>SKEW(rmsft)</f>
        <v>-0.5113133118598346</v>
      </c>
    </row>
    <row r="17" spans="10:11" ht="12.75">
      <c r="J17" t="s">
        <v>62</v>
      </c>
      <c r="K17" s="19">
        <f>KURT(rmsft)</f>
        <v>2.38131659913089</v>
      </c>
    </row>
    <row r="19" ht="12.75">
      <c r="C19" s="16" t="s">
        <v>54</v>
      </c>
    </row>
    <row r="20" ht="12.75">
      <c r="C20" s="14" t="s">
        <v>5</v>
      </c>
    </row>
    <row r="21" spans="2:3" ht="12.75">
      <c r="B21" t="s">
        <v>36</v>
      </c>
      <c r="C21" s="15">
        <f>COUNT(rmsft)</f>
        <v>100</v>
      </c>
    </row>
    <row r="22" spans="2:3" ht="12.75">
      <c r="B22" t="s">
        <v>37</v>
      </c>
      <c r="C22" s="1">
        <f>SUM(rmsft)</f>
        <v>2.7563867476635004</v>
      </c>
    </row>
    <row r="23" spans="2:3" ht="12.75">
      <c r="B23" t="s">
        <v>38</v>
      </c>
      <c r="C23" s="18">
        <f>AVERAGE(rmsft)</f>
        <v>0.027563867476635005</v>
      </c>
    </row>
    <row r="24" spans="2:3" ht="12.75">
      <c r="B24" t="s">
        <v>39</v>
      </c>
      <c r="C24" s="18">
        <f>QUARTILE(rmsft,2)</f>
        <v>0.02185133287980774</v>
      </c>
    </row>
    <row r="25" spans="2:3" ht="12.75">
      <c r="B25" t="s">
        <v>40</v>
      </c>
      <c r="C25" s="1" t="e">
        <f>[1]!modevalue(rmsft)</f>
        <v>#N/A</v>
      </c>
    </row>
    <row r="26" spans="2:3" ht="12.75">
      <c r="B26" t="s">
        <v>41</v>
      </c>
      <c r="C26" s="17">
        <f>TRIMMEAN(rmsft,0.2)</f>
        <v>0.02917955201493349</v>
      </c>
    </row>
    <row r="27" spans="2:3" ht="12.75">
      <c r="B27" t="s">
        <v>42</v>
      </c>
      <c r="C27" s="17">
        <f>SMALL(rmsft,2)</f>
        <v>-0.17634374223803953</v>
      </c>
    </row>
    <row r="28" spans="2:5" ht="12.75">
      <c r="B28" t="s">
        <v>43</v>
      </c>
      <c r="C28" s="17">
        <f>LARGE(rmsft,2)</f>
        <v>0.2486601381818082</v>
      </c>
      <c r="E28" t="s">
        <v>66</v>
      </c>
    </row>
    <row r="29" spans="2:5" ht="12.75">
      <c r="B29" t="s">
        <v>44</v>
      </c>
      <c r="C29" s="18">
        <f>PERCENTILE(rmsft,0.01)</f>
        <v>-0.17878907868668964</v>
      </c>
      <c r="E29" s="17">
        <f>NORMINV(0.01,$K$6,$K$13)</f>
        <v>-0.22094396885479844</v>
      </c>
    </row>
    <row r="30" spans="2:5" ht="12.75">
      <c r="B30" t="s">
        <v>45</v>
      </c>
      <c r="C30" s="18">
        <f>PERCENTILE(rmsft,0.05)</f>
        <v>-0.13825086672579603</v>
      </c>
      <c r="E30" s="17">
        <f>NORMINV(0.05,$K$6,$K$13)</f>
        <v>-0.14814498052780192</v>
      </c>
    </row>
    <row r="31" spans="2:5" ht="12.75">
      <c r="B31" t="s">
        <v>46</v>
      </c>
      <c r="C31" s="18">
        <f>PERCENTILE(rmsft,0.1)</f>
        <v>-0.09149859223182197</v>
      </c>
      <c r="E31" s="17">
        <f>NORMINV(0.1,$K$6,$K$13)</f>
        <v>-0.10933579083580683</v>
      </c>
    </row>
    <row r="32" spans="2:5" ht="12.75">
      <c r="B32" t="s">
        <v>47</v>
      </c>
      <c r="C32" s="18">
        <f>QUARTILE(rmsft,1)</f>
        <v>-0.029734837553771723</v>
      </c>
      <c r="E32" s="17">
        <f>NORMINV(0.25,$K$6,$K$13)</f>
        <v>-0.044487510444483735</v>
      </c>
    </row>
    <row r="33" spans="2:5" ht="12.75">
      <c r="B33" t="s">
        <v>48</v>
      </c>
      <c r="C33" s="18">
        <f>QUARTILE(rmsft,2)</f>
        <v>0.02185133287980774</v>
      </c>
      <c r="E33" s="17">
        <f>NORMINV(0.5,$K$6,$K$13)</f>
        <v>0.027563867476635005</v>
      </c>
    </row>
    <row r="34" spans="2:5" ht="12.75">
      <c r="B34" t="s">
        <v>49</v>
      </c>
      <c r="C34" s="18">
        <f>QUARTILE(rmsft,3)</f>
        <v>0.09463591754195913</v>
      </c>
      <c r="E34" s="17">
        <f>NORMINV(0.75,$K$6,$K$13)</f>
        <v>0.09961524539775374</v>
      </c>
    </row>
    <row r="35" spans="2:5" ht="12.75">
      <c r="B35" t="s">
        <v>50</v>
      </c>
      <c r="C35" s="18">
        <f>PERCENTILE(rmsft,0.9)</f>
        <v>0.14193130868570733</v>
      </c>
      <c r="E35" s="17">
        <f>NORMINV(0.9,$K$6,$K$13)</f>
        <v>0.16446352578907683</v>
      </c>
    </row>
    <row r="36" spans="2:5" ht="12.75">
      <c r="B36" t="s">
        <v>51</v>
      </c>
      <c r="C36" s="18">
        <f>PERCENTILE(rmsft,0.95)</f>
        <v>0.21175789151499738</v>
      </c>
      <c r="E36" s="17">
        <f>NORMINV(0.95,$K$6,$K$13)</f>
        <v>0.20327271548107193</v>
      </c>
    </row>
    <row r="37" spans="2:5" ht="12.75">
      <c r="B37" t="s">
        <v>52</v>
      </c>
      <c r="C37" s="18">
        <f>PERCENTILE(rmsft,0.99)</f>
        <v>0.24898880796215814</v>
      </c>
      <c r="E37" s="17">
        <f>NORMINV(0.99,$K$6,$K$13)</f>
        <v>0.27607170380806845</v>
      </c>
    </row>
    <row r="38" spans="2:3" ht="12.75">
      <c r="B38" t="s">
        <v>53</v>
      </c>
      <c r="C38" s="18">
        <f>[1]!IQR(rmsft)</f>
        <v>0.12437075509573085</v>
      </c>
    </row>
  </sheetData>
  <printOptions/>
  <pageMargins left="0.75" right="0.75" top="1" bottom="1" header="0.5" footer="0.5"/>
  <pageSetup orientation="portrait" paperSize="9"/>
  <drawing r:id="rId6"/>
  <legacyDrawing r:id="rId5"/>
  <oleObjects>
    <oleObject progId="Equation.DSMT4" shapeId="99347" r:id="rId1"/>
    <oleObject progId="Equation.DSMT4" shapeId="103776" r:id="rId2"/>
    <oleObject progId="Equation.DSMT4" shapeId="106669" r:id="rId3"/>
    <oleObject progId="Equation.DSMT4" shapeId="106821" r:id="rId4"/>
  </oleObject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32" sqref="H32"/>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X301"/>
  <sheetViews>
    <sheetView workbookViewId="0" topLeftCell="A1">
      <selection activeCell="A1" sqref="A1"/>
    </sheetView>
  </sheetViews>
  <sheetFormatPr defaultColWidth="9.140625" defaultRowHeight="12.75"/>
  <sheetData>
    <row r="1" spans="1:13" ht="12.75">
      <c r="A1" t="s">
        <v>18</v>
      </c>
      <c r="M1" t="s">
        <v>34</v>
      </c>
    </row>
    <row r="2" spans="1:24" ht="12.75">
      <c r="A2">
        <f>IF(ISBLANK(data!H4),"",data!H4)</f>
        <v>0.038539162268914316</v>
      </c>
      <c r="B2">
        <f>QUARTILE($A$2:$A$101,1)</f>
        <v>-0.029734837553771723</v>
      </c>
      <c r="C2">
        <v>0.5</v>
      </c>
      <c r="D2" t="e">
        <f>IF(OR($A$2&lt;$B$6,$A$2&gt;$B$8),$A$2,#N/A)</f>
        <v>#N/A</v>
      </c>
      <c r="E2" t="e">
        <f>IF(OR(AND($A$2&lt;$B$5,$A$2&gt;=$B$6),AND($A$2&gt;$B$7,$A$2&lt;=$B$8)),$A$2,#N/A)</f>
        <v>#N/A</v>
      </c>
      <c r="F2">
        <f>IF(OR(AND($A$2&lt;$B$2,$A$2&gt;=$B$5),AND($A$2&gt;$B$4,$A$2&lt;=$B$7)),$A$2,"")</f>
      </c>
      <c r="G2">
        <v>0.2</v>
      </c>
      <c r="H2">
        <f>$B$3</f>
        <v>0.02185133287980774</v>
      </c>
      <c r="I2">
        <v>0.5</v>
      </c>
      <c r="J2">
        <f>MIN($A$2:$A$301)-(MAX($A$2:$A$301)-MIN($A$2:$A$301))/14</f>
        <v>-0.4710491373401823</v>
      </c>
      <c r="K2">
        <v>0.2</v>
      </c>
      <c r="L2">
        <f>AVERAGE($A$2:$A$101)</f>
        <v>0.027563867476635005</v>
      </c>
      <c r="M2">
        <f>IF(ISBLANK(data!H4),"",data!H4)</f>
        <v>0.038539162268914316</v>
      </c>
      <c r="N2">
        <f>QUARTILE($M$2:$M$101,1)</f>
        <v>-0.029734837553771723</v>
      </c>
      <c r="O2">
        <v>0.5</v>
      </c>
      <c r="P2" t="e">
        <f>IF(OR($M$2&lt;$N$6,$M$2&gt;$N$8),$M$2,#N/A)</f>
        <v>#N/A</v>
      </c>
      <c r="Q2" t="e">
        <f>IF(OR(AND($M$2&lt;$N$5,$M$2&gt;=$N$6),AND($M$2&gt;$N$7,$M$2&lt;=$N$8)),$M$2,#N/A)</f>
        <v>#N/A</v>
      </c>
      <c r="R2">
        <f>IF(OR(AND($M$2&lt;$N$2,$M$2&gt;=$N$5),AND($M$2&gt;$N$4,$M$2&lt;=$N$7)),$M$2,"")</f>
      </c>
      <c r="S2">
        <v>0.2</v>
      </c>
      <c r="T2">
        <f>$N$3</f>
        <v>0.02185133287980774</v>
      </c>
      <c r="U2">
        <v>0.5</v>
      </c>
      <c r="V2">
        <f>MIN($M$2:$M$301)-(MAX($M$2:$M$301)-MIN($M$2:$M$301))/14</f>
        <v>-0.5340745228676929</v>
      </c>
      <c r="W2">
        <v>0.2</v>
      </c>
      <c r="X2">
        <f>AVERAGE($M$2:$M$101)</f>
        <v>0.027563867476635005</v>
      </c>
    </row>
    <row r="3" spans="1:24" ht="12.75">
      <c r="A3">
        <f>IF(ISBLANK(data!H5),"",data!H5)</f>
        <v>0.023753982754551504</v>
      </c>
      <c r="B3">
        <f>QUARTILE($A$2:$A$101,2)</f>
        <v>0.02185133287980774</v>
      </c>
      <c r="C3">
        <v>0.5</v>
      </c>
      <c r="D3" t="e">
        <f>IF(OR($A$3&lt;$B$6,$A$3&gt;$B$8),$A$3,#N/A)</f>
        <v>#N/A</v>
      </c>
      <c r="E3" t="e">
        <f>IF(OR(AND($A$3&lt;$B$5,$A$3&gt;=$B$6),AND($A$3&gt;$B$7,$A$3&lt;=$B$8)),$A$3,#N/A)</f>
        <v>#N/A</v>
      </c>
      <c r="F3">
        <f>IF(OR(AND($A$3&lt;$B$2,$A$3&gt;=$B$5),AND($A$3&gt;$B$4,$A$3&lt;=$B$7)),$A$3,"")</f>
      </c>
      <c r="G3">
        <v>0.2</v>
      </c>
      <c r="H3">
        <f>$B$2</f>
        <v>-0.029734837553771723</v>
      </c>
      <c r="I3">
        <v>1.5</v>
      </c>
      <c r="J3">
        <f>MIN($A$2:$A$301)-(MAX($A$2:$A$301)-MIN($A$2:$A$301))/14</f>
        <v>-0.4710491373401823</v>
      </c>
      <c r="K3">
        <v>0.8</v>
      </c>
      <c r="L3">
        <f>AVERAGE($A$2:$A$101)</f>
        <v>0.027563867476635005</v>
      </c>
      <c r="M3">
        <f>IF(ISBLANK(data!H5),"",data!H5)</f>
        <v>0.023753982754551504</v>
      </c>
      <c r="N3">
        <f>QUARTILE($M$2:$M$101,2)</f>
        <v>0.02185133287980774</v>
      </c>
      <c r="O3">
        <v>0.5</v>
      </c>
      <c r="P3" t="e">
        <f>IF(OR($M$3&lt;$N$6,$M$3&gt;$N$8),$M$3,#N/A)</f>
        <v>#N/A</v>
      </c>
      <c r="Q3" t="e">
        <f>IF(OR(AND($M$3&lt;$N$5,$M$3&gt;=$N$6),AND($M$3&gt;$N$7,$M$3&lt;=$N$8)),$M$3,#N/A)</f>
        <v>#N/A</v>
      </c>
      <c r="R3">
        <f>IF(OR(AND($M$3&lt;$N$2,$M$3&gt;=$N$5),AND($M$3&gt;$N$4,$M$3&lt;=$N$7)),$M$3,"")</f>
      </c>
      <c r="S3">
        <v>0.2</v>
      </c>
      <c r="T3">
        <f>$N$2</f>
        <v>-0.029734837553771723</v>
      </c>
      <c r="U3">
        <v>1.5</v>
      </c>
      <c r="V3">
        <f>MIN($M$2:$M$301)-(MAX($M$2:$M$301)-MIN($M$2:$M$301))/14</f>
        <v>-0.5340745228676929</v>
      </c>
      <c r="W3">
        <v>0.8</v>
      </c>
      <c r="X3">
        <f>AVERAGE($M$2:$M$101)</f>
        <v>0.027563867476635005</v>
      </c>
    </row>
    <row r="4" spans="1:23" ht="12.75">
      <c r="A4">
        <f>IF(ISBLANK(data!H6),"",data!H6)</f>
        <v>0.07745885941411298</v>
      </c>
      <c r="B4">
        <f>QUARTILE($A$2:$A$101,3)</f>
        <v>0.09463591754195913</v>
      </c>
      <c r="C4">
        <v>0.5</v>
      </c>
      <c r="D4" t="e">
        <f>IF(OR($A$4&lt;$B$6,$A$4&gt;$B$8),$A$4,#N/A)</f>
        <v>#N/A</v>
      </c>
      <c r="E4" t="e">
        <f>IF(OR(AND($A$4&lt;$B$5,$A$4&gt;=$B$6),AND($A$4&gt;$B$7,$A$4&lt;=$B$8)),$A$4,#N/A)</f>
        <v>#N/A</v>
      </c>
      <c r="F4">
        <f>IF(OR(AND($A$4&lt;$B$2,$A$4&gt;=$B$5),AND($A$4&gt;$B$4,$A$4&lt;=$B$7)),$A$4,"")</f>
      </c>
      <c r="G4">
        <v>0.5</v>
      </c>
      <c r="H4">
        <f>$B$2</f>
        <v>-0.029734837553771723</v>
      </c>
      <c r="I4">
        <v>2.5</v>
      </c>
      <c r="J4">
        <f>MIN($A$2:$A$301)-(MAX($A$2:$A$301)-MIN($A$2:$A$301))/14</f>
        <v>-0.4710491373401823</v>
      </c>
      <c r="M4">
        <f>IF(ISBLANK(data!H6),"",data!H6)</f>
        <v>0.07745885941411298</v>
      </c>
      <c r="N4">
        <f>QUARTILE($M$2:$M$101,3)</f>
        <v>0.09463591754195913</v>
      </c>
      <c r="O4">
        <v>0.5</v>
      </c>
      <c r="P4" t="e">
        <f>IF(OR($M$4&lt;$N$6,$M$4&gt;$N$8),$M$4,#N/A)</f>
        <v>#N/A</v>
      </c>
      <c r="Q4" t="e">
        <f>IF(OR(AND($M$4&lt;$N$5,$M$4&gt;=$N$6),AND($M$4&gt;$N$7,$M$4&lt;=$N$8)),$M$4,#N/A)</f>
        <v>#N/A</v>
      </c>
      <c r="R4">
        <f>IF(OR(AND($M$4&lt;$N$2,$M$4&gt;=$N$5),AND($M$4&gt;$N$4,$M$4&lt;=$N$7)),$M$4,"")</f>
      </c>
      <c r="S4">
        <v>0.5</v>
      </c>
      <c r="T4">
        <f>$N$2</f>
        <v>-0.029734837553771723</v>
      </c>
      <c r="U4">
        <v>2.5</v>
      </c>
      <c r="V4">
        <f>MIN($M$2:$M$301)-(MAX($M$2:$M$301)-MIN($M$2:$M$301))/14</f>
        <v>-0.5340745228676929</v>
      </c>
    </row>
    <row r="5" spans="1:24" ht="12.75">
      <c r="A5">
        <f>IF(ISBLANK(data!H7),"",data!H7)</f>
        <v>0.09758068890068425</v>
      </c>
      <c r="B5">
        <f>$B$2-1.5*($B$4-$B$2)</f>
        <v>-0.21629097019736798</v>
      </c>
      <c r="C5">
        <v>0.5</v>
      </c>
      <c r="D5" t="e">
        <f>IF(OR($A$5&lt;$B$6,$A$5&gt;$B$8),$A$5,#N/A)</f>
        <v>#N/A</v>
      </c>
      <c r="E5" t="e">
        <f>IF(OR(AND($A$5&lt;$B$5,$A$5&gt;=$B$6),AND($A$5&gt;$B$7,$A$5&lt;=$B$8)),$A$5,#N/A)</f>
        <v>#N/A</v>
      </c>
      <c r="F5">
        <f>IF(OR(AND($A$5&lt;$B$2,$A$5&gt;=$B$5),AND($A$5&gt;$B$4,$A$5&lt;=$B$7)),$A$5,"")</f>
        <v>0.09758068890068425</v>
      </c>
      <c r="G5">
        <v>0.5</v>
      </c>
      <c r="H5">
        <f>$B$9</f>
        <v>-0.17634374223803953</v>
      </c>
      <c r="K5">
        <v>1.2</v>
      </c>
      <c r="L5" t="e">
        <f>AVERAGE($A$102:$A$201)</f>
        <v>#DIV/0!</v>
      </c>
      <c r="M5">
        <f>IF(ISBLANK(data!H7),"",data!H7)</f>
        <v>0.09758068890068425</v>
      </c>
      <c r="N5">
        <f>$N$2-1.5*($N$4-$N$2)</f>
        <v>-0.21629097019736798</v>
      </c>
      <c r="O5">
        <v>0.5</v>
      </c>
      <c r="P5" t="e">
        <f>IF(OR($M$5&lt;$N$6,$M$5&gt;$N$8),$M$5,#N/A)</f>
        <v>#N/A</v>
      </c>
      <c r="Q5" t="e">
        <f>IF(OR(AND($M$5&lt;$N$5,$M$5&gt;=$N$6),AND($M$5&gt;$N$7,$M$5&lt;=$N$8)),$M$5,#N/A)</f>
        <v>#N/A</v>
      </c>
      <c r="R5">
        <f>IF(OR(AND($M$5&lt;$N$2,$M$5&gt;=$N$5),AND($M$5&gt;$N$4,$M$5&lt;=$N$7)),$M$5,"")</f>
        <v>0.09758068890068425</v>
      </c>
      <c r="S5">
        <v>0.5</v>
      </c>
      <c r="T5">
        <f>$N$9</f>
        <v>-0.17634374223803953</v>
      </c>
      <c r="W5">
        <v>1.2</v>
      </c>
      <c r="X5">
        <f>AVERAGE($M$102:$M$201)</f>
        <v>0.027768113312115004</v>
      </c>
    </row>
    <row r="6" spans="1:24" ht="12.75">
      <c r="A6">
        <f>IF(ISBLANK(data!H8),"",data!H8)</f>
        <v>0.04811259365878859</v>
      </c>
      <c r="B6">
        <f>$B$2-3*($B$4-$B$2)</f>
        <v>-0.40284710284096426</v>
      </c>
      <c r="C6">
        <v>0.5</v>
      </c>
      <c r="D6" t="e">
        <f>IF(OR($A$6&lt;$B$6,$A$6&gt;$B$8),$A$6,#N/A)</f>
        <v>#N/A</v>
      </c>
      <c r="E6" t="e">
        <f>IF(OR(AND($A$6&lt;$B$5,$A$6&gt;=$B$6),AND($A$6&gt;$B$7,$A$6&lt;=$B$8)),$A$6,#N/A)</f>
        <v>#N/A</v>
      </c>
      <c r="F6">
        <f>IF(OR(AND($A$6&lt;$B$2,$A$6&gt;=$B$5),AND($A$6&gt;$B$4,$A$6&lt;=$B$7)),$A$6,"")</f>
      </c>
      <c r="G6">
        <v>0.5</v>
      </c>
      <c r="H6">
        <f>$B$2</f>
        <v>-0.029734837553771723</v>
      </c>
      <c r="K6">
        <v>1.8</v>
      </c>
      <c r="L6" t="e">
        <f>AVERAGE($A$102:$A$201)</f>
        <v>#DIV/0!</v>
      </c>
      <c r="M6">
        <f>IF(ISBLANK(data!H8),"",data!H8)</f>
        <v>0.04811259365878859</v>
      </c>
      <c r="N6">
        <f>$N$2-3*($N$4-$N$2)</f>
        <v>-0.40284710284096426</v>
      </c>
      <c r="O6">
        <v>0.5</v>
      </c>
      <c r="P6" t="e">
        <f>IF(OR($M$6&lt;$N$6,$M$6&gt;$N$8),$M$6,#N/A)</f>
        <v>#N/A</v>
      </c>
      <c r="Q6" t="e">
        <f>IF(OR(AND($M$6&lt;$N$5,$M$6&gt;=$N$6),AND($M$6&gt;$N$7,$M$6&lt;=$N$8)),$M$6,#N/A)</f>
        <v>#N/A</v>
      </c>
      <c r="R6">
        <f>IF(OR(AND($M$6&lt;$N$2,$M$6&gt;=$N$5),AND($M$6&gt;$N$4,$M$6&lt;=$N$7)),$M$6,"")</f>
      </c>
      <c r="S6">
        <v>0.5</v>
      </c>
      <c r="T6">
        <f>$N$2</f>
        <v>-0.029734837553771723</v>
      </c>
      <c r="W6">
        <v>1.8</v>
      </c>
      <c r="X6">
        <f>AVERAGE($M$102:$M$201)</f>
        <v>0.027768113312115004</v>
      </c>
    </row>
    <row r="7" spans="1:23" ht="12.75">
      <c r="A7">
        <f>IF(ISBLANK(data!H9),"",data!H9)</f>
        <v>-0.08689423899859978</v>
      </c>
      <c r="B7">
        <f>$B$4+1.5*($B$4-$B$2)</f>
        <v>0.2811920501855554</v>
      </c>
      <c r="C7">
        <v>0.5</v>
      </c>
      <c r="D7" t="e">
        <f>IF(OR($A$7&lt;$B$6,$A$7&gt;$B$8),$A$7,#N/A)</f>
        <v>#N/A</v>
      </c>
      <c r="E7" t="e">
        <f>IF(OR(AND($A$7&lt;$B$5,$A$7&gt;=$B$6),AND($A$7&gt;$B$7,$A$7&lt;=$B$8)),$A$7,#N/A)</f>
        <v>#N/A</v>
      </c>
      <c r="F7">
        <f>IF(OR(AND($A$7&lt;$B$2,$A$7&gt;=$B$5),AND($A$7&gt;$B$4,$A$7&lt;=$B$7)),$A$7,"")</f>
        <v>-0.08689423899859978</v>
      </c>
      <c r="G7">
        <v>0.8</v>
      </c>
      <c r="H7">
        <f>$B$2</f>
        <v>-0.029734837553771723</v>
      </c>
      <c r="M7">
        <f>IF(ISBLANK(data!H9),"",data!H9)</f>
        <v>-0.08689423899859978</v>
      </c>
      <c r="N7">
        <f>$N$4+1.5*($N$4-$N$2)</f>
        <v>0.2811920501855554</v>
      </c>
      <c r="O7">
        <v>0.5</v>
      </c>
      <c r="P7" t="e">
        <f>IF(OR($M$7&lt;$N$6,$M$7&gt;$N$8),$M$7,#N/A)</f>
        <v>#N/A</v>
      </c>
      <c r="Q7" t="e">
        <f>IF(OR(AND($M$7&lt;$N$5,$M$7&gt;=$N$6),AND($M$7&gt;$N$7,$M$7&lt;=$N$8)),$M$7,#N/A)</f>
        <v>#N/A</v>
      </c>
      <c r="R7">
        <f>IF(OR(AND($M$7&lt;$N$2,$M$7&gt;=$N$5),AND($M$7&gt;$N$4,$M$7&lt;=$N$7)),$M$7,"")</f>
        <v>-0.08689423899859978</v>
      </c>
      <c r="S7">
        <v>0.8</v>
      </c>
      <c r="T7">
        <f>$N$2</f>
        <v>-0.029734837553771723</v>
      </c>
    </row>
    <row r="8" spans="1:24" ht="12.75">
      <c r="A8">
        <f>IF(ISBLANK(data!H10),"",data!H10)</f>
        <v>0.013088875292341472</v>
      </c>
      <c r="B8">
        <f>$B$4+3*($B$4-$B$2)</f>
        <v>0.46774818282915165</v>
      </c>
      <c r="C8">
        <v>0.5</v>
      </c>
      <c r="D8" t="e">
        <f>IF(OR($A$8&lt;$B$6,$A$8&gt;$B$8),$A$8,#N/A)</f>
        <v>#N/A</v>
      </c>
      <c r="E8" t="e">
        <f>IF(OR(AND($A$8&lt;$B$5,$A$8&gt;=$B$6),AND($A$8&gt;$B$7,$A$8&lt;=$B$8)),$A$8,#N/A)</f>
        <v>#N/A</v>
      </c>
      <c r="F8">
        <f>IF(OR(AND($A$8&lt;$B$2,$A$8&gt;=$B$5),AND($A$8&gt;$B$4,$A$8&lt;=$B$7)),$A$8,"")</f>
      </c>
      <c r="G8">
        <v>0.8</v>
      </c>
      <c r="H8">
        <f>$B$4</f>
        <v>0.09463591754195913</v>
      </c>
      <c r="K8">
        <v>2.2</v>
      </c>
      <c r="L8">
        <f>AVERAGE($A$202:$A$301)</f>
        <v>0.012533998019849396</v>
      </c>
      <c r="M8">
        <f>IF(ISBLANK(data!H10),"",data!H10)</f>
        <v>0.013088875292341472</v>
      </c>
      <c r="N8">
        <f>$N$4+3*($N$4-$N$2)</f>
        <v>0.46774818282915165</v>
      </c>
      <c r="O8">
        <v>0.5</v>
      </c>
      <c r="P8" t="e">
        <f>IF(OR($M$8&lt;$N$6,$M$8&gt;$N$8),$M$8,#N/A)</f>
        <v>#N/A</v>
      </c>
      <c r="Q8" t="e">
        <f>IF(OR(AND($M$8&lt;$N$5,$M$8&gt;=$N$6),AND($M$8&gt;$N$7,$M$8&lt;=$N$8)),$M$8,#N/A)</f>
        <v>#N/A</v>
      </c>
      <c r="R8">
        <f>IF(OR(AND($M$8&lt;$N$2,$M$8&gt;=$N$5),AND($M$8&gt;$N$4,$M$8&lt;=$N$7)),$M$8,"")</f>
      </c>
      <c r="S8">
        <v>0.8</v>
      </c>
      <c r="T8">
        <f>$N$4</f>
        <v>0.09463591754195913</v>
      </c>
      <c r="W8">
        <v>2.2</v>
      </c>
      <c r="X8">
        <f>AVERAGE($M$202:$M$301)</f>
        <v>0.012533998019849396</v>
      </c>
    </row>
    <row r="9" spans="1:24" ht="12.75">
      <c r="A9">
        <f>IF(ISBLANK(data!H11),"",data!H11)</f>
        <v>-0.0367938575320578</v>
      </c>
      <c r="B9">
        <f>IF(AND(COUNT($F$2:$F$101)&gt;0,MIN($F$2:$F$101)&lt;$B$2),MIN($F$2:$F$101),$B$2)</f>
        <v>-0.17634374223803953</v>
      </c>
      <c r="C9">
        <v>0.5</v>
      </c>
      <c r="D9" t="e">
        <f>IF(OR($A$9&lt;$B$6,$A$9&gt;$B$8),$A$9,#N/A)</f>
        <v>#N/A</v>
      </c>
      <c r="E9" t="e">
        <f>IF(OR(AND($A$9&lt;$B$5,$A$9&gt;=$B$6),AND($A$9&gt;$B$7,$A$9&lt;=$B$8)),$A$9,#N/A)</f>
        <v>#N/A</v>
      </c>
      <c r="F9">
        <f>IF(OR(AND($A$9&lt;$B$2,$A$9&gt;=$B$5),AND($A$9&gt;$B$4,$A$9&lt;=$B$7)),$A$9,"")</f>
        <v>-0.0367938575320578</v>
      </c>
      <c r="G9">
        <v>0.5</v>
      </c>
      <c r="H9">
        <f>$B$4</f>
        <v>0.09463591754195913</v>
      </c>
      <c r="K9">
        <v>2.8</v>
      </c>
      <c r="L9">
        <f>AVERAGE($A$202:$A$301)</f>
        <v>0.012533998019849396</v>
      </c>
      <c r="M9">
        <f>IF(ISBLANK(data!H11),"",data!H11)</f>
        <v>-0.0367938575320578</v>
      </c>
      <c r="N9">
        <f>IF(AND(COUNT($R$2:$R$101)&gt;0,MIN($R$2:$R$101)&lt;$N$2),MIN($R$2:$R$101),$N$2)</f>
        <v>-0.17634374223803953</v>
      </c>
      <c r="O9">
        <v>0.5</v>
      </c>
      <c r="P9" t="e">
        <f>IF(OR($M$9&lt;$N$6,$M$9&gt;$N$8),$M$9,#N/A)</f>
        <v>#N/A</v>
      </c>
      <c r="Q9" t="e">
        <f>IF(OR(AND($M$9&lt;$N$5,$M$9&gt;=$N$6),AND($M$9&gt;$N$7,$M$9&lt;=$N$8)),$M$9,#N/A)</f>
        <v>#N/A</v>
      </c>
      <c r="R9">
        <f>IF(OR(AND($M$9&lt;$N$2,$M$9&gt;=$N$5),AND($M$9&gt;$N$4,$M$9&lt;=$N$7)),$M$9,"")</f>
        <v>-0.0367938575320578</v>
      </c>
      <c r="S9">
        <v>0.5</v>
      </c>
      <c r="T9">
        <f>$N$4</f>
        <v>0.09463591754195913</v>
      </c>
      <c r="W9">
        <v>2.8</v>
      </c>
      <c r="X9">
        <f>AVERAGE($M$202:$M$301)</f>
        <v>0.012533998019849396</v>
      </c>
    </row>
    <row r="10" spans="1:20" ht="12.75">
      <c r="A10">
        <f>IF(ISBLANK(data!H12),"",data!H12)</f>
        <v>0.10385868802423674</v>
      </c>
      <c r="B10">
        <f>IF(AND(COUNT($F$2:$F$101)&gt;0,MAX($F$2:$F$101)&gt;$B$4),MAX($F$2:$F$101),$B$4)</f>
        <v>0.2486601381818082</v>
      </c>
      <c r="C10">
        <v>0.5</v>
      </c>
      <c r="D10" t="e">
        <f>IF(OR($A$10&lt;$B$6,$A$10&gt;$B$8),$A$10,#N/A)</f>
        <v>#N/A</v>
      </c>
      <c r="E10" t="e">
        <f>IF(OR(AND($A$10&lt;$B$5,$A$10&gt;=$B$6),AND($A$10&gt;$B$7,$A$10&lt;=$B$8)),$A$10,#N/A)</f>
        <v>#N/A</v>
      </c>
      <c r="F10">
        <f>IF(OR(AND($A$10&lt;$B$2,$A$10&gt;=$B$5),AND($A$10&gt;$B$4,$A$10&lt;=$B$7)),$A$10,"")</f>
        <v>0.10385868802423674</v>
      </c>
      <c r="G10">
        <v>0.5</v>
      </c>
      <c r="H10">
        <f>$B$10</f>
        <v>0.2486601381818082</v>
      </c>
      <c r="M10">
        <f>IF(ISBLANK(data!H12),"",data!H12)</f>
        <v>0.10385868802423674</v>
      </c>
      <c r="N10">
        <f>IF(AND(COUNT($R$2:$R$101)&gt;0,MAX($R$2:$R$101)&gt;$N$4),MAX($R$2:$R$101),$N$4)</f>
        <v>0.2486601381818082</v>
      </c>
      <c r="O10">
        <v>0.5</v>
      </c>
      <c r="P10" t="e">
        <f>IF(OR($M$10&lt;$N$6,$M$10&gt;$N$8),$M$10,#N/A)</f>
        <v>#N/A</v>
      </c>
      <c r="Q10" t="e">
        <f>IF(OR(AND($M$10&lt;$N$5,$M$10&gt;=$N$6),AND($M$10&gt;$N$7,$M$10&lt;=$N$8)),$M$10,#N/A)</f>
        <v>#N/A</v>
      </c>
      <c r="R10">
        <f>IF(OR(AND($M$10&lt;$N$2,$M$10&gt;=$N$5),AND($M$10&gt;$N$4,$M$10&lt;=$N$7)),$M$10,"")</f>
        <v>0.10385868802423674</v>
      </c>
      <c r="S10">
        <v>0.5</v>
      </c>
      <c r="T10">
        <f>$N$10</f>
        <v>0.2486601381818082</v>
      </c>
    </row>
    <row r="11" spans="1:20" ht="12.75">
      <c r="A11">
        <f>IF(ISBLANK(data!H13),"",data!H13)</f>
        <v>-0.07867426320824425</v>
      </c>
      <c r="B11" t="e">
        <f>QUARTILE($A$102:$A$201,1)</f>
        <v>#NUM!</v>
      </c>
      <c r="C11">
        <v>0.5</v>
      </c>
      <c r="D11" t="e">
        <f>IF(OR($A$11&lt;$B$6,$A$11&gt;$B$8),$A$11,#N/A)</f>
        <v>#N/A</v>
      </c>
      <c r="E11" t="e">
        <f>IF(OR(AND($A$11&lt;$B$5,$A$11&gt;=$B$6),AND($A$11&gt;$B$7,$A$11&lt;=$B$8)),$A$11,#N/A)</f>
        <v>#N/A</v>
      </c>
      <c r="F11">
        <f>IF(OR(AND($A$11&lt;$B$2,$A$11&gt;=$B$5),AND($A$11&gt;$B$4,$A$11&lt;=$B$7)),$A$11,"")</f>
        <v>-0.07867426320824425</v>
      </c>
      <c r="G11">
        <v>0.5</v>
      </c>
      <c r="H11">
        <f>$B$4</f>
        <v>0.09463591754195913</v>
      </c>
      <c r="M11">
        <f>IF(ISBLANK(data!H13),"",data!H13)</f>
        <v>-0.07867426320824425</v>
      </c>
      <c r="N11">
        <f>QUARTILE($M$102:$M$201,1)</f>
        <v>-0.02334511303298386</v>
      </c>
      <c r="O11">
        <v>0.5</v>
      </c>
      <c r="P11" t="e">
        <f>IF(OR($M$11&lt;$N$6,$M$11&gt;$N$8),$M$11,#N/A)</f>
        <v>#N/A</v>
      </c>
      <c r="Q11" t="e">
        <f>IF(OR(AND($M$11&lt;$N$5,$M$11&gt;=$N$6),AND($M$11&gt;$N$7,$M$11&lt;=$N$8)),$M$11,#N/A)</f>
        <v>#N/A</v>
      </c>
      <c r="R11">
        <f>IF(OR(AND($M$11&lt;$N$2,$M$11&gt;=$N$5),AND($M$11&gt;$N$4,$M$11&lt;=$N$7)),$M$11,"")</f>
        <v>-0.07867426320824425</v>
      </c>
      <c r="S11">
        <v>0.5</v>
      </c>
      <c r="T11">
        <f>$N$4</f>
        <v>0.09463591754195913</v>
      </c>
    </row>
    <row r="12" spans="1:20" ht="12.75">
      <c r="A12">
        <f>IF(ISBLANK(data!H14),"",data!H14)</f>
        <v>0.08003982870397734</v>
      </c>
      <c r="B12" t="e">
        <f>QUARTILE($A$102:$A$201,2)</f>
        <v>#NUM!</v>
      </c>
      <c r="C12">
        <v>0.5</v>
      </c>
      <c r="D12" t="e">
        <f>IF(OR($A$12&lt;$B$6,$A$12&gt;$B$8),$A$12,#N/A)</f>
        <v>#N/A</v>
      </c>
      <c r="E12" t="e">
        <f>IF(OR(AND($A$12&lt;$B$5,$A$12&gt;=$B$6),AND($A$12&gt;$B$7,$A$12&lt;=$B$8)),$A$12,#N/A)</f>
        <v>#N/A</v>
      </c>
      <c r="F12">
        <f>IF(OR(AND($A$12&lt;$B$2,$A$12&gt;=$B$5),AND($A$12&gt;$B$4,$A$12&lt;=$B$7)),$A$12,"")</f>
      </c>
      <c r="G12">
        <v>0.2</v>
      </c>
      <c r="H12">
        <f>$B$4</f>
        <v>0.09463591754195913</v>
      </c>
      <c r="M12">
        <f>IF(ISBLANK(data!H14),"",data!H14)</f>
        <v>0.08003982870397734</v>
      </c>
      <c r="N12">
        <f>QUARTILE($M$102:$M$201,2)</f>
        <v>0.02307781224890826</v>
      </c>
      <c r="O12">
        <v>0.5</v>
      </c>
      <c r="P12" t="e">
        <f>IF(OR($M$12&lt;$N$6,$M$12&gt;$N$8),$M$12,#N/A)</f>
        <v>#N/A</v>
      </c>
      <c r="Q12" t="e">
        <f>IF(OR(AND($M$12&lt;$N$5,$M$12&gt;=$N$6),AND($M$12&gt;$N$7,$M$12&lt;=$N$8)),$M$12,#N/A)</f>
        <v>#N/A</v>
      </c>
      <c r="R12">
        <f>IF(OR(AND($M$12&lt;$N$2,$M$12&gt;=$N$5),AND($M$12&gt;$N$4,$M$12&lt;=$N$7)),$M$12,"")</f>
      </c>
      <c r="S12">
        <v>0.2</v>
      </c>
      <c r="T12">
        <f>$N$4</f>
        <v>0.09463591754195913</v>
      </c>
    </row>
    <row r="13" spans="1:20" ht="12.75">
      <c r="A13">
        <f>IF(ISBLANK(data!H15),"",data!H15)</f>
        <v>-0.05122874684985769</v>
      </c>
      <c r="B13" t="e">
        <f>QUARTILE($A$102:$A$201,3)</f>
        <v>#NUM!</v>
      </c>
      <c r="C13">
        <v>0.5</v>
      </c>
      <c r="D13" t="e">
        <f>IF(OR($A$13&lt;$B$6,$A$13&gt;$B$8),$A$13,#N/A)</f>
        <v>#N/A</v>
      </c>
      <c r="E13" t="e">
        <f>IF(OR(AND($A$13&lt;$B$5,$A$13&gt;=$B$6),AND($A$13&gt;$B$7,$A$13&lt;=$B$8)),$A$13,#N/A)</f>
        <v>#N/A</v>
      </c>
      <c r="F13">
        <f>IF(OR(AND($A$13&lt;$B$2,$A$13&gt;=$B$5),AND($A$13&gt;$B$4,$A$13&lt;=$B$7)),$A$13,"")</f>
        <v>-0.05122874684985769</v>
      </c>
      <c r="G13">
        <v>0.2</v>
      </c>
      <c r="H13">
        <f>$B$3</f>
        <v>0.02185133287980774</v>
      </c>
      <c r="M13">
        <f>IF(ISBLANK(data!H15),"",data!H15)</f>
        <v>-0.05122874684985769</v>
      </c>
      <c r="N13">
        <f>QUARTILE($M$102:$M$201,3)</f>
        <v>0.10779847679260922</v>
      </c>
      <c r="O13">
        <v>0.5</v>
      </c>
      <c r="P13" t="e">
        <f>IF(OR($M$13&lt;$N$6,$M$13&gt;$N$8),$M$13,#N/A)</f>
        <v>#N/A</v>
      </c>
      <c r="Q13" t="e">
        <f>IF(OR(AND($M$13&lt;$N$5,$M$13&gt;=$N$6),AND($M$13&gt;$N$7,$M$13&lt;=$N$8)),$M$13,#N/A)</f>
        <v>#N/A</v>
      </c>
      <c r="R13">
        <f>IF(OR(AND($M$13&lt;$N$2,$M$13&gt;=$N$5),AND($M$13&gt;$N$4,$M$13&lt;=$N$7)),$M$13,"")</f>
        <v>-0.05122874684985769</v>
      </c>
      <c r="S13">
        <v>0.2</v>
      </c>
      <c r="T13">
        <f>$N$3</f>
        <v>0.02185133287980774</v>
      </c>
    </row>
    <row r="14" spans="1:20" ht="12.75">
      <c r="A14">
        <f>IF(ISBLANK(data!H16),"",data!H16)</f>
        <v>-0.17327172127403667</v>
      </c>
      <c r="B14" t="e">
        <f>$B$11-1.5*($B$13-$B$11)</f>
        <v>#NUM!</v>
      </c>
      <c r="C14">
        <v>0.5</v>
      </c>
      <c r="D14" t="e">
        <f>IF(OR($A$14&lt;$B$6,$A$14&gt;$B$8),$A$14,#N/A)</f>
        <v>#N/A</v>
      </c>
      <c r="E14" t="e">
        <f>IF(OR(AND($A$14&lt;$B$5,$A$14&gt;=$B$6),AND($A$14&gt;$B$7,$A$14&lt;=$B$8)),$A$14,#N/A)</f>
        <v>#N/A</v>
      </c>
      <c r="F14">
        <f>IF(OR(AND($A$14&lt;$B$2,$A$14&gt;=$B$5),AND($A$14&gt;$B$4,$A$14&lt;=$B$7)),$A$14,"")</f>
        <v>-0.17327172127403667</v>
      </c>
      <c r="G14">
        <v>0.8</v>
      </c>
      <c r="H14">
        <f>$B$3</f>
        <v>0.02185133287980774</v>
      </c>
      <c r="M14">
        <f>IF(ISBLANK(data!H16),"",data!H16)</f>
        <v>-0.17327172127403667</v>
      </c>
      <c r="N14">
        <f>$N$11-1.5*($N$13-$N$11)</f>
        <v>-0.2200604977713735</v>
      </c>
      <c r="O14">
        <v>0.5</v>
      </c>
      <c r="P14" t="e">
        <f>IF(OR($M$14&lt;$N$6,$M$14&gt;$N$8),$M$14,#N/A)</f>
        <v>#N/A</v>
      </c>
      <c r="Q14" t="e">
        <f>IF(OR(AND($M$14&lt;$N$5,$M$14&gt;=$N$6),AND($M$14&gt;$N$7,$M$14&lt;=$N$8)),$M$14,#N/A)</f>
        <v>#N/A</v>
      </c>
      <c r="R14">
        <f>IF(OR(AND($M$14&lt;$N$2,$M$14&gt;=$N$5),AND($M$14&gt;$N$4,$M$14&lt;=$N$7)),$M$14,"")</f>
        <v>-0.17327172127403667</v>
      </c>
      <c r="S14">
        <v>0.8</v>
      </c>
      <c r="T14">
        <f>$N$3</f>
        <v>0.02185133287980774</v>
      </c>
    </row>
    <row r="15" spans="1:19" ht="12.75">
      <c r="A15">
        <f>IF(ISBLANK(data!H17),"",data!H17)</f>
        <v>0.015085637418040735</v>
      </c>
      <c r="B15" t="e">
        <f>$B$11-3*($B$13-$B$11)</f>
        <v>#NUM!</v>
      </c>
      <c r="C15">
        <v>0.5</v>
      </c>
      <c r="D15" t="e">
        <f>IF(OR($A$15&lt;$B$6,$A$15&gt;$B$8),$A$15,#N/A)</f>
        <v>#N/A</v>
      </c>
      <c r="E15" t="e">
        <f>IF(OR(AND($A$15&lt;$B$5,$A$15&gt;=$B$6),AND($A$15&gt;$B$7,$A$15&lt;=$B$8)),$A$15,#N/A)</f>
        <v>#N/A</v>
      </c>
      <c r="F15">
        <f>IF(OR(AND($A$15&lt;$B$2,$A$15&gt;=$B$5),AND($A$15&gt;$B$4,$A$15&lt;=$B$7)),$A$15,"")</f>
      </c>
      <c r="M15">
        <f>IF(ISBLANK(data!H17),"",data!H17)</f>
        <v>0.015085637418040735</v>
      </c>
      <c r="N15">
        <f>$N$11-3*($N$13-$N$11)</f>
        <v>-0.4167758825097631</v>
      </c>
      <c r="O15">
        <v>0.5</v>
      </c>
      <c r="P15" t="e">
        <f>IF(OR($M$15&lt;$N$6,$M$15&gt;$N$8),$M$15,#N/A)</f>
        <v>#N/A</v>
      </c>
      <c r="Q15" t="e">
        <f>IF(OR(AND($M$15&lt;$N$5,$M$15&gt;=$N$6),AND($M$15&gt;$N$7,$M$15&lt;=$N$8)),$M$15,#N/A)</f>
        <v>#N/A</v>
      </c>
      <c r="R15">
        <f>IF(OR(AND($M$15&lt;$N$2,$M$15&gt;=$N$5),AND($M$15&gt;$N$4,$M$15&lt;=$N$7)),$M$15,"")</f>
      </c>
    </row>
    <row r="16" spans="1:20" ht="12.75">
      <c r="A16">
        <f>IF(ISBLANK(data!H18),"",data!H18)</f>
        <v>0.09363786570171183</v>
      </c>
      <c r="B16" t="e">
        <f>$B$13+1.5*($B$13-$B$11)</f>
        <v>#NUM!</v>
      </c>
      <c r="C16">
        <v>0.5</v>
      </c>
      <c r="D16" t="e">
        <f>IF(OR($A$16&lt;$B$6,$A$16&gt;$B$8),$A$16,#N/A)</f>
        <v>#N/A</v>
      </c>
      <c r="E16" t="e">
        <f>IF(OR(AND($A$16&lt;$B$5,$A$16&gt;=$B$6),AND($A$16&gt;$B$7,$A$16&lt;=$B$8)),$A$16,#N/A)</f>
        <v>#N/A</v>
      </c>
      <c r="F16">
        <f>IF(OR(AND($A$16&lt;$B$2,$A$16&gt;=$B$5),AND($A$16&gt;$B$4,$A$16&lt;=$B$7)),$A$16,"")</f>
      </c>
      <c r="G16">
        <v>1.2</v>
      </c>
      <c r="H16" t="e">
        <f>$B$12</f>
        <v>#NUM!</v>
      </c>
      <c r="M16">
        <f>IF(ISBLANK(data!H18),"",data!H18)</f>
        <v>0.09363786570171183</v>
      </c>
      <c r="N16">
        <f>$N$13+1.5*($N$13-$N$11)</f>
        <v>0.30451386153099885</v>
      </c>
      <c r="O16">
        <v>0.5</v>
      </c>
      <c r="P16" t="e">
        <f>IF(OR($M$16&lt;$N$6,$M$16&gt;$N$8),$M$16,#N/A)</f>
        <v>#N/A</v>
      </c>
      <c r="Q16" t="e">
        <f>IF(OR(AND($M$16&lt;$N$5,$M$16&gt;=$N$6),AND($M$16&gt;$N$7,$M$16&lt;=$N$8)),$M$16,#N/A)</f>
        <v>#N/A</v>
      </c>
      <c r="R16">
        <f>IF(OR(AND($M$16&lt;$N$2,$M$16&gt;=$N$5),AND($M$16&gt;$N$4,$M$16&lt;=$N$7)),$M$16,"")</f>
      </c>
      <c r="S16">
        <v>1.2</v>
      </c>
      <c r="T16">
        <f>$N$12</f>
        <v>0.02307781224890826</v>
      </c>
    </row>
    <row r="17" spans="1:20" ht="12.75">
      <c r="A17">
        <f>IF(ISBLANK(data!H19),"",data!H19)</f>
        <v>-0.029203177186047646</v>
      </c>
      <c r="B17" t="e">
        <f>$B$13+3*($B$13-$B$11)</f>
        <v>#NUM!</v>
      </c>
      <c r="C17">
        <v>0.5</v>
      </c>
      <c r="D17" t="e">
        <f>IF(OR($A$17&lt;$B$6,$A$17&gt;$B$8),$A$17,#N/A)</f>
        <v>#N/A</v>
      </c>
      <c r="E17" t="e">
        <f>IF(OR(AND($A$17&lt;$B$5,$A$17&gt;=$B$6),AND($A$17&gt;$B$7,$A$17&lt;=$B$8)),$A$17,#N/A)</f>
        <v>#N/A</v>
      </c>
      <c r="F17">
        <f>IF(OR(AND($A$17&lt;$B$2,$A$17&gt;=$B$5),AND($A$17&gt;$B$4,$A$17&lt;=$B$7)),$A$17,"")</f>
      </c>
      <c r="G17">
        <v>1.2</v>
      </c>
      <c r="H17" t="e">
        <f>$B$11</f>
        <v>#NUM!</v>
      </c>
      <c r="M17">
        <f>IF(ISBLANK(data!H19),"",data!H19)</f>
        <v>-0.029203177186047646</v>
      </c>
      <c r="N17">
        <f>$N$13+3*($N$13-$N$11)</f>
        <v>0.5012292462693885</v>
      </c>
      <c r="O17">
        <v>0.5</v>
      </c>
      <c r="P17" t="e">
        <f>IF(OR($M$17&lt;$N$6,$M$17&gt;$N$8),$M$17,#N/A)</f>
        <v>#N/A</v>
      </c>
      <c r="Q17" t="e">
        <f>IF(OR(AND($M$17&lt;$N$5,$M$17&gt;=$N$6),AND($M$17&gt;$N$7,$M$17&lt;=$N$8)),$M$17,#N/A)</f>
        <v>#N/A</v>
      </c>
      <c r="R17">
        <f>IF(OR(AND($M$17&lt;$N$2,$M$17&gt;=$N$5),AND($M$17&gt;$N$4,$M$17&lt;=$N$7)),$M$17,"")</f>
      </c>
      <c r="S17">
        <v>1.2</v>
      </c>
      <c r="T17">
        <f>$N$11</f>
        <v>-0.02334511303298386</v>
      </c>
    </row>
    <row r="18" spans="1:20" ht="12.75">
      <c r="A18">
        <f>IF(ISBLANK(data!H20),"",data!H20)</f>
        <v>-0.0015587844639931602</v>
      </c>
      <c r="B18" t="e">
        <f>IF(AND(COUNT($F$102:$F$201)&gt;0,MIN($F$102:$F$201)&lt;$B$11),MIN($F$102:$F$201),$B$11)</f>
        <v>#NUM!</v>
      </c>
      <c r="C18">
        <v>0.5</v>
      </c>
      <c r="D18" t="e">
        <f>IF(OR($A$18&lt;$B$6,$A$18&gt;$B$8),$A$18,#N/A)</f>
        <v>#N/A</v>
      </c>
      <c r="E18" t="e">
        <f>IF(OR(AND($A$18&lt;$B$5,$A$18&gt;=$B$6),AND($A$18&gt;$B$7,$A$18&lt;=$B$8)),$A$18,#N/A)</f>
        <v>#N/A</v>
      </c>
      <c r="F18">
        <f>IF(OR(AND($A$18&lt;$B$2,$A$18&gt;=$B$5),AND($A$18&gt;$B$4,$A$18&lt;=$B$7)),$A$18,"")</f>
      </c>
      <c r="G18">
        <v>1.5</v>
      </c>
      <c r="H18" t="e">
        <f>$B$11</f>
        <v>#NUM!</v>
      </c>
      <c r="M18">
        <f>IF(ISBLANK(data!H20),"",data!H20)</f>
        <v>-0.0015587844639931602</v>
      </c>
      <c r="N18">
        <f>IF(AND(COUNT($R$102:$R$201)&gt;0,MIN($R$102:$R$201)&lt;$N$11),MIN($R$102:$R$201),$N$11)</f>
        <v>-0.20288987184446508</v>
      </c>
      <c r="O18">
        <v>0.5</v>
      </c>
      <c r="P18" t="e">
        <f>IF(OR($M$18&lt;$N$6,$M$18&gt;$N$8),$M$18,#N/A)</f>
        <v>#N/A</v>
      </c>
      <c r="Q18" t="e">
        <f>IF(OR(AND($M$18&lt;$N$5,$M$18&gt;=$N$6),AND($M$18&gt;$N$7,$M$18&lt;=$N$8)),$M$18,#N/A)</f>
        <v>#N/A</v>
      </c>
      <c r="R18">
        <f>IF(OR(AND($M$18&lt;$N$2,$M$18&gt;=$N$5),AND($M$18&gt;$N$4,$M$18&lt;=$N$7)),$M$18,"")</f>
      </c>
      <c r="S18">
        <v>1.5</v>
      </c>
      <c r="T18">
        <f>$N$11</f>
        <v>-0.02334511303298386</v>
      </c>
    </row>
    <row r="19" spans="1:20" ht="12.75">
      <c r="A19">
        <f>IF(ISBLANK(data!H21),"",data!H21)</f>
        <v>0.007789582274829718</v>
      </c>
      <c r="B19" t="e">
        <f>IF(AND(COUNT($F$102:$F$201)&gt;0,MAX($F$102:$F$201)&gt;$B$13),MAX($F$102:$F$201),$B$13)</f>
        <v>#NUM!</v>
      </c>
      <c r="C19">
        <v>0.5</v>
      </c>
      <c r="D19" t="e">
        <f>IF(OR($A$19&lt;$B$6,$A$19&gt;$B$8),$A$19,#N/A)</f>
        <v>#N/A</v>
      </c>
      <c r="E19" t="e">
        <f>IF(OR(AND($A$19&lt;$B$5,$A$19&gt;=$B$6),AND($A$19&gt;$B$7,$A$19&lt;=$B$8)),$A$19,#N/A)</f>
        <v>#N/A</v>
      </c>
      <c r="F19">
        <f>IF(OR(AND($A$19&lt;$B$2,$A$19&gt;=$B$5),AND($A$19&gt;$B$4,$A$19&lt;=$B$7)),$A$19,"")</f>
      </c>
      <c r="G19">
        <v>1.5</v>
      </c>
      <c r="H19" t="e">
        <f>$B$18</f>
        <v>#NUM!</v>
      </c>
      <c r="M19">
        <f>IF(ISBLANK(data!H21),"",data!H21)</f>
        <v>0.007789582274829718</v>
      </c>
      <c r="N19">
        <f>IF(AND(COUNT($R$102:$R$201)&gt;0,MAX($R$102:$R$201)&gt;$N$13),MAX($R$102:$R$201),$N$13)</f>
        <v>0.27966705915226586</v>
      </c>
      <c r="O19">
        <v>0.5</v>
      </c>
      <c r="P19" t="e">
        <f>IF(OR($M$19&lt;$N$6,$M$19&gt;$N$8),$M$19,#N/A)</f>
        <v>#N/A</v>
      </c>
      <c r="Q19" t="e">
        <f>IF(OR(AND($M$19&lt;$N$5,$M$19&gt;=$N$6),AND($M$19&gt;$N$7,$M$19&lt;=$N$8)),$M$19,#N/A)</f>
        <v>#N/A</v>
      </c>
      <c r="R19">
        <f>IF(OR(AND($M$19&lt;$N$2,$M$19&gt;=$N$5),AND($M$19&gt;$N$4,$M$19&lt;=$N$7)),$M$19,"")</f>
      </c>
      <c r="S19">
        <v>1.5</v>
      </c>
      <c r="T19">
        <f>$N$18</f>
        <v>-0.20288987184446508</v>
      </c>
    </row>
    <row r="20" spans="1:20" ht="12.75">
      <c r="A20">
        <f>IF(ISBLANK(data!H22),"",data!H22)</f>
        <v>0.054302198032155156</v>
      </c>
      <c r="B20">
        <f>QUARTILE($A$202:$A$301,1)</f>
        <v>-0.012011220800430523</v>
      </c>
      <c r="C20">
        <v>0.5</v>
      </c>
      <c r="D20" t="e">
        <f>IF(OR($A$20&lt;$B$6,$A$20&gt;$B$8),$A$20,#N/A)</f>
        <v>#N/A</v>
      </c>
      <c r="E20" t="e">
        <f>IF(OR(AND($A$20&lt;$B$5,$A$20&gt;=$B$6),AND($A$20&gt;$B$7,$A$20&lt;=$B$8)),$A$20,#N/A)</f>
        <v>#N/A</v>
      </c>
      <c r="F20">
        <f>IF(OR(AND($A$20&lt;$B$2,$A$20&gt;=$B$5),AND($A$20&gt;$B$4,$A$20&lt;=$B$7)),$A$20,"")</f>
      </c>
      <c r="G20">
        <v>1.5</v>
      </c>
      <c r="H20" t="e">
        <f>$B$11</f>
        <v>#NUM!</v>
      </c>
      <c r="M20">
        <f>IF(ISBLANK(data!H22),"",data!H22)</f>
        <v>0.054302198032155156</v>
      </c>
      <c r="N20">
        <f>QUARTILE($M$202:$M$301,1)</f>
        <v>-0.012011220800430523</v>
      </c>
      <c r="O20">
        <v>0.5</v>
      </c>
      <c r="P20" t="e">
        <f>IF(OR($M$20&lt;$N$6,$M$20&gt;$N$8),$M$20,#N/A)</f>
        <v>#N/A</v>
      </c>
      <c r="Q20" t="e">
        <f>IF(OR(AND($M$20&lt;$N$5,$M$20&gt;=$N$6),AND($M$20&gt;$N$7,$M$20&lt;=$N$8)),$M$20,#N/A)</f>
        <v>#N/A</v>
      </c>
      <c r="R20">
        <f>IF(OR(AND($M$20&lt;$N$2,$M$20&gt;=$N$5),AND($M$20&gt;$N$4,$M$20&lt;=$N$7)),$M$20,"")</f>
      </c>
      <c r="S20">
        <v>1.5</v>
      </c>
      <c r="T20">
        <f>$N$11</f>
        <v>-0.02334511303298386</v>
      </c>
    </row>
    <row r="21" spans="1:20" ht="12.75">
      <c r="A21">
        <f>IF(ISBLANK(data!H23),"",data!H23)</f>
        <v>-0.03132981865694396</v>
      </c>
      <c r="B21">
        <f>QUARTILE($A$202:$A$301,2)</f>
        <v>0.01645132532477981</v>
      </c>
      <c r="C21">
        <v>0.5</v>
      </c>
      <c r="D21" t="e">
        <f>IF(OR($A$21&lt;$B$6,$A$21&gt;$B$8),$A$21,#N/A)</f>
        <v>#N/A</v>
      </c>
      <c r="E21" t="e">
        <f>IF(OR(AND($A$21&lt;$B$5,$A$21&gt;=$B$6),AND($A$21&gt;$B$7,$A$21&lt;=$B$8)),$A$21,#N/A)</f>
        <v>#N/A</v>
      </c>
      <c r="F21">
        <f>IF(OR(AND($A$21&lt;$B$2,$A$21&gt;=$B$5),AND($A$21&gt;$B$4,$A$21&lt;=$B$7)),$A$21,"")</f>
        <v>-0.03132981865694396</v>
      </c>
      <c r="G21">
        <v>1.8</v>
      </c>
      <c r="H21" t="e">
        <f>$B$11</f>
        <v>#NUM!</v>
      </c>
      <c r="M21">
        <f>IF(ISBLANK(data!H23),"",data!H23)</f>
        <v>-0.03132981865694396</v>
      </c>
      <c r="N21">
        <f>QUARTILE($M$202:$M$301,2)</f>
        <v>0.01645132532477981</v>
      </c>
      <c r="O21">
        <v>0.5</v>
      </c>
      <c r="P21" t="e">
        <f>IF(OR($M$21&lt;$N$6,$M$21&gt;$N$8),$M$21,#N/A)</f>
        <v>#N/A</v>
      </c>
      <c r="Q21" t="e">
        <f>IF(OR(AND($M$21&lt;$N$5,$M$21&gt;=$N$6),AND($M$21&gt;$N$7,$M$21&lt;=$N$8)),$M$21,#N/A)</f>
        <v>#N/A</v>
      </c>
      <c r="R21">
        <f>IF(OR(AND($M$21&lt;$N$2,$M$21&gt;=$N$5),AND($M$21&gt;$N$4,$M$21&lt;=$N$7)),$M$21,"")</f>
        <v>-0.03132981865694396</v>
      </c>
      <c r="S21">
        <v>1.8</v>
      </c>
      <c r="T21">
        <f>$N$11</f>
        <v>-0.02334511303298386</v>
      </c>
    </row>
    <row r="22" spans="1:20" ht="12.75">
      <c r="A22">
        <f>IF(ISBLANK(data!H24),"",data!H24)</f>
        <v>0.026921869689510994</v>
      </c>
      <c r="B22">
        <f>QUARTILE($A$202:$A$301,3)</f>
        <v>0.03820004113480118</v>
      </c>
      <c r="C22">
        <v>0.5</v>
      </c>
      <c r="D22" t="e">
        <f>IF(OR($A$22&lt;$B$6,$A$22&gt;$B$8),$A$22,#N/A)</f>
        <v>#N/A</v>
      </c>
      <c r="E22" t="e">
        <f>IF(OR(AND($A$22&lt;$B$5,$A$22&gt;=$B$6),AND($A$22&gt;$B$7,$A$22&lt;=$B$8)),$A$22,#N/A)</f>
        <v>#N/A</v>
      </c>
      <c r="F22">
        <f>IF(OR(AND($A$22&lt;$B$2,$A$22&gt;=$B$5),AND($A$22&gt;$B$4,$A$22&lt;=$B$7)),$A$22,"")</f>
      </c>
      <c r="G22">
        <v>1.8</v>
      </c>
      <c r="H22" t="e">
        <f>$B$13</f>
        <v>#NUM!</v>
      </c>
      <c r="M22">
        <f>IF(ISBLANK(data!H24),"",data!H24)</f>
        <v>0.026921869689510994</v>
      </c>
      <c r="N22">
        <f>QUARTILE($M$202:$M$301,3)</f>
        <v>0.03820004113480118</v>
      </c>
      <c r="O22">
        <v>0.5</v>
      </c>
      <c r="P22" t="e">
        <f>IF(OR($M$22&lt;$N$6,$M$22&gt;$N$8),$M$22,#N/A)</f>
        <v>#N/A</v>
      </c>
      <c r="Q22" t="e">
        <f>IF(OR(AND($M$22&lt;$N$5,$M$22&gt;=$N$6),AND($M$22&gt;$N$7,$M$22&lt;=$N$8)),$M$22,#N/A)</f>
        <v>#N/A</v>
      </c>
      <c r="R22">
        <f>IF(OR(AND($M$22&lt;$N$2,$M$22&gt;=$N$5),AND($M$22&gt;$N$4,$M$22&lt;=$N$7)),$M$22,"")</f>
      </c>
      <c r="S22">
        <v>1.8</v>
      </c>
      <c r="T22">
        <f>$N$13</f>
        <v>0.10779847679260922</v>
      </c>
    </row>
    <row r="23" spans="1:20" ht="12.75">
      <c r="A23">
        <f>IF(ISBLANK(data!H25),"",data!H25)</f>
        <v>0.08748952981889774</v>
      </c>
      <c r="B23">
        <f>$B$20-1.5*($B$22-$B$20)</f>
        <v>-0.08732811370327809</v>
      </c>
      <c r="C23">
        <v>0.5</v>
      </c>
      <c r="D23" t="e">
        <f>IF(OR($A$23&lt;$B$6,$A$23&gt;$B$8),$A$23,#N/A)</f>
        <v>#N/A</v>
      </c>
      <c r="E23" t="e">
        <f>IF(OR(AND($A$23&lt;$B$5,$A$23&gt;=$B$6),AND($A$23&gt;$B$7,$A$23&lt;=$B$8)),$A$23,#N/A)</f>
        <v>#N/A</v>
      </c>
      <c r="F23">
        <f>IF(OR(AND($A$23&lt;$B$2,$A$23&gt;=$B$5),AND($A$23&gt;$B$4,$A$23&lt;=$B$7)),$A$23,"")</f>
      </c>
      <c r="G23">
        <v>1.5</v>
      </c>
      <c r="H23" t="e">
        <f>$B$13</f>
        <v>#NUM!</v>
      </c>
      <c r="M23">
        <f>IF(ISBLANK(data!H25),"",data!H25)</f>
        <v>0.08748952981889774</v>
      </c>
      <c r="N23">
        <f>$N$20-1.5*($N$22-$N$20)</f>
        <v>-0.08732811370327809</v>
      </c>
      <c r="O23">
        <v>0.5</v>
      </c>
      <c r="P23" t="e">
        <f>IF(OR($M$23&lt;$N$6,$M$23&gt;$N$8),$M$23,#N/A)</f>
        <v>#N/A</v>
      </c>
      <c r="Q23" t="e">
        <f>IF(OR(AND($M$23&lt;$N$5,$M$23&gt;=$N$6),AND($M$23&gt;$N$7,$M$23&lt;=$N$8)),$M$23,#N/A)</f>
        <v>#N/A</v>
      </c>
      <c r="R23">
        <f>IF(OR(AND($M$23&lt;$N$2,$M$23&gt;=$N$5),AND($M$23&gt;$N$4,$M$23&lt;=$N$7)),$M$23,"")</f>
      </c>
      <c r="S23">
        <v>1.5</v>
      </c>
      <c r="T23">
        <f>$N$13</f>
        <v>0.10779847679260922</v>
      </c>
    </row>
    <row r="24" spans="1:20" ht="12.75">
      <c r="A24">
        <f>IF(ISBLANK(data!H26),"",data!H26)</f>
        <v>0.15029829356816102</v>
      </c>
      <c r="B24">
        <f>$B$20-3*($B$22-$B$20)</f>
        <v>-0.16264500660612563</v>
      </c>
      <c r="C24">
        <v>0.5</v>
      </c>
      <c r="D24" t="e">
        <f>IF(OR($A$24&lt;$B$6,$A$24&gt;$B$8),$A$24,#N/A)</f>
        <v>#N/A</v>
      </c>
      <c r="E24" t="e">
        <f>IF(OR(AND($A$24&lt;$B$5,$A$24&gt;=$B$6),AND($A$24&gt;$B$7,$A$24&lt;=$B$8)),$A$24,#N/A)</f>
        <v>#N/A</v>
      </c>
      <c r="F24">
        <f>IF(OR(AND($A$24&lt;$B$2,$A$24&gt;=$B$5),AND($A$24&gt;$B$4,$A$24&lt;=$B$7)),$A$24,"")</f>
        <v>0.15029829356816102</v>
      </c>
      <c r="G24">
        <v>1.5</v>
      </c>
      <c r="H24" t="e">
        <f>$B$19</f>
        <v>#NUM!</v>
      </c>
      <c r="M24">
        <f>IF(ISBLANK(data!H26),"",data!H26)</f>
        <v>0.15029829356816102</v>
      </c>
      <c r="N24">
        <f>$N$20-3*($N$22-$N$20)</f>
        <v>-0.16264500660612563</v>
      </c>
      <c r="O24">
        <v>0.5</v>
      </c>
      <c r="P24" t="e">
        <f>IF(OR($M$24&lt;$N$6,$M$24&gt;$N$8),$M$24,#N/A)</f>
        <v>#N/A</v>
      </c>
      <c r="Q24" t="e">
        <f>IF(OR(AND($M$24&lt;$N$5,$M$24&gt;=$N$6),AND($M$24&gt;$N$7,$M$24&lt;=$N$8)),$M$24,#N/A)</f>
        <v>#N/A</v>
      </c>
      <c r="R24">
        <f>IF(OR(AND($M$24&lt;$N$2,$M$24&gt;=$N$5),AND($M$24&gt;$N$4,$M$24&lt;=$N$7)),$M$24,"")</f>
        <v>0.15029829356816102</v>
      </c>
      <c r="S24">
        <v>1.5</v>
      </c>
      <c r="T24">
        <f>$N$19</f>
        <v>0.27966705915226586</v>
      </c>
    </row>
    <row r="25" spans="1:20" ht="12.75">
      <c r="A25">
        <f>IF(ISBLANK(data!H27),"",data!H27)</f>
        <v>-0.040348931658863926</v>
      </c>
      <c r="B25">
        <f>$B$22+1.5*($B$22-$B$20)</f>
        <v>0.11351693403764873</v>
      </c>
      <c r="C25">
        <v>0.5</v>
      </c>
      <c r="D25" t="e">
        <f>IF(OR($A$25&lt;$B$6,$A$25&gt;$B$8),$A$25,#N/A)</f>
        <v>#N/A</v>
      </c>
      <c r="E25" t="e">
        <f>IF(OR(AND($A$25&lt;$B$5,$A$25&gt;=$B$6),AND($A$25&gt;$B$7,$A$25&lt;=$B$8)),$A$25,#N/A)</f>
        <v>#N/A</v>
      </c>
      <c r="F25">
        <f>IF(OR(AND($A$25&lt;$B$2,$A$25&gt;=$B$5),AND($A$25&gt;$B$4,$A$25&lt;=$B$7)),$A$25,"")</f>
        <v>-0.040348931658863926</v>
      </c>
      <c r="G25">
        <v>1.5</v>
      </c>
      <c r="H25" t="e">
        <f>$B$13</f>
        <v>#NUM!</v>
      </c>
      <c r="M25">
        <f>IF(ISBLANK(data!H27),"",data!H27)</f>
        <v>-0.040348931658863926</v>
      </c>
      <c r="N25">
        <f>$N$22+1.5*($N$22-$N$20)</f>
        <v>0.11351693403764873</v>
      </c>
      <c r="O25">
        <v>0.5</v>
      </c>
      <c r="P25" t="e">
        <f>IF(OR($M$25&lt;$N$6,$M$25&gt;$N$8),$M$25,#N/A)</f>
        <v>#N/A</v>
      </c>
      <c r="Q25" t="e">
        <f>IF(OR(AND($M$25&lt;$N$5,$M$25&gt;=$N$6),AND($M$25&gt;$N$7,$M$25&lt;=$N$8)),$M$25,#N/A)</f>
        <v>#N/A</v>
      </c>
      <c r="R25">
        <f>IF(OR(AND($M$25&lt;$N$2,$M$25&gt;=$N$5),AND($M$25&gt;$N$4,$M$25&lt;=$N$7)),$M$25,"")</f>
        <v>-0.040348931658863926</v>
      </c>
      <c r="S25">
        <v>1.5</v>
      </c>
      <c r="T25">
        <f>$N$13</f>
        <v>0.10779847679260922</v>
      </c>
    </row>
    <row r="26" spans="1:20" ht="12.75">
      <c r="A26">
        <f>IF(ISBLANK(data!H28),"",data!H28)</f>
        <v>-0.002420369511992366</v>
      </c>
      <c r="B26">
        <f>$B$22+3*($B$22-$B$20)</f>
        <v>0.1888338269404963</v>
      </c>
      <c r="C26">
        <v>0.5</v>
      </c>
      <c r="D26" t="e">
        <f>IF(OR($A$26&lt;$B$6,$A$26&gt;$B$8),$A$26,#N/A)</f>
        <v>#N/A</v>
      </c>
      <c r="E26" t="e">
        <f>IF(OR(AND($A$26&lt;$B$5,$A$26&gt;=$B$6),AND($A$26&gt;$B$7,$A$26&lt;=$B$8)),$A$26,#N/A)</f>
        <v>#N/A</v>
      </c>
      <c r="F26">
        <f>IF(OR(AND($A$26&lt;$B$2,$A$26&gt;=$B$5),AND($A$26&gt;$B$4,$A$26&lt;=$B$7)),$A$26,"")</f>
      </c>
      <c r="G26">
        <v>1.2</v>
      </c>
      <c r="H26" t="e">
        <f>$B$13</f>
        <v>#NUM!</v>
      </c>
      <c r="M26">
        <f>IF(ISBLANK(data!H28),"",data!H28)</f>
        <v>-0.002420369511992366</v>
      </c>
      <c r="N26">
        <f>$N$22+3*($N$22-$N$20)</f>
        <v>0.1888338269404963</v>
      </c>
      <c r="O26">
        <v>0.5</v>
      </c>
      <c r="P26" t="e">
        <f>IF(OR($M$26&lt;$N$6,$M$26&gt;$N$8),$M$26,#N/A)</f>
        <v>#N/A</v>
      </c>
      <c r="Q26" t="e">
        <f>IF(OR(AND($M$26&lt;$N$5,$M$26&gt;=$N$6),AND($M$26&gt;$N$7,$M$26&lt;=$N$8)),$M$26,#N/A)</f>
        <v>#N/A</v>
      </c>
      <c r="R26">
        <f>IF(OR(AND($M$26&lt;$N$2,$M$26&gt;=$N$5),AND($M$26&gt;$N$4,$M$26&lt;=$N$7)),$M$26,"")</f>
      </c>
      <c r="S26">
        <v>1.2</v>
      </c>
      <c r="T26">
        <f>$N$13</f>
        <v>0.10779847679260922</v>
      </c>
    </row>
    <row r="27" spans="1:20" ht="12.75">
      <c r="A27">
        <f>IF(ISBLANK(data!H29),"",data!H29)</f>
        <v>0.1210106153716951</v>
      </c>
      <c r="B27">
        <f>IF(AND(COUNT($F$202:$F$301)&gt;0,MIN($F$202:$F$301)&lt;$B$20),MIN($F$202:$F$301),$B$20)</f>
        <v>-0.05918286528109512</v>
      </c>
      <c r="C27">
        <v>0.5</v>
      </c>
      <c r="D27" t="e">
        <f>IF(OR($A$27&lt;$B$6,$A$27&gt;$B$8),$A$27,#N/A)</f>
        <v>#N/A</v>
      </c>
      <c r="E27" t="e">
        <f>IF(OR(AND($A$27&lt;$B$5,$A$27&gt;=$B$6),AND($A$27&gt;$B$7,$A$27&lt;=$B$8)),$A$27,#N/A)</f>
        <v>#N/A</v>
      </c>
      <c r="F27">
        <f>IF(OR(AND($A$27&lt;$B$2,$A$27&gt;=$B$5),AND($A$27&gt;$B$4,$A$27&lt;=$B$7)),$A$27,"")</f>
        <v>0.1210106153716951</v>
      </c>
      <c r="G27">
        <v>1.2</v>
      </c>
      <c r="H27" t="e">
        <f>$B$12</f>
        <v>#NUM!</v>
      </c>
      <c r="M27">
        <f>IF(ISBLANK(data!H29),"",data!H29)</f>
        <v>0.1210106153716951</v>
      </c>
      <c r="N27">
        <f>IF(AND(COUNT($R$202:$R$301)&gt;0,MIN($R$202:$R$301)&lt;$N$20),MIN($R$202:$R$301),$N$20)</f>
        <v>-0.05918286528109512</v>
      </c>
      <c r="O27">
        <v>0.5</v>
      </c>
      <c r="P27" t="e">
        <f>IF(OR($M$27&lt;$N$6,$M$27&gt;$N$8),$M$27,#N/A)</f>
        <v>#N/A</v>
      </c>
      <c r="Q27" t="e">
        <f>IF(OR(AND($M$27&lt;$N$5,$M$27&gt;=$N$6),AND($M$27&gt;$N$7,$M$27&lt;=$N$8)),$M$27,#N/A)</f>
        <v>#N/A</v>
      </c>
      <c r="R27">
        <f>IF(OR(AND($M$27&lt;$N$2,$M$27&gt;=$N$5),AND($M$27&gt;$N$4,$M$27&lt;=$N$7)),$M$27,"")</f>
        <v>0.1210106153716951</v>
      </c>
      <c r="S27">
        <v>1.2</v>
      </c>
      <c r="T27">
        <f>$N$12</f>
        <v>0.02307781224890826</v>
      </c>
    </row>
    <row r="28" spans="1:20" ht="12.75">
      <c r="A28">
        <f>IF(ISBLANK(data!H30),"",data!H30)</f>
        <v>-0.03501464045970389</v>
      </c>
      <c r="B28">
        <f>IF(AND(COUNT($F$202:$F$301)&gt;0,MAX($F$202:$F$301)&gt;$B$22),MAX($F$202:$F$301),$B$22)</f>
        <v>0.09232381212222356</v>
      </c>
      <c r="C28">
        <v>0.5</v>
      </c>
      <c r="D28" t="e">
        <f>IF(OR($A$28&lt;$B$6,$A$28&gt;$B$8),$A$28,#N/A)</f>
        <v>#N/A</v>
      </c>
      <c r="E28" t="e">
        <f>IF(OR(AND($A$28&lt;$B$5,$A$28&gt;=$B$6),AND($A$28&gt;$B$7,$A$28&lt;=$B$8)),$A$28,#N/A)</f>
        <v>#N/A</v>
      </c>
      <c r="F28">
        <f>IF(OR(AND($A$28&lt;$B$2,$A$28&gt;=$B$5),AND($A$28&gt;$B$4,$A$28&lt;=$B$7)),$A$28,"")</f>
        <v>-0.03501464045970389</v>
      </c>
      <c r="G28">
        <v>1.8</v>
      </c>
      <c r="H28" t="e">
        <f>$B$12</f>
        <v>#NUM!</v>
      </c>
      <c r="M28">
        <f>IF(ISBLANK(data!H30),"",data!H30)</f>
        <v>-0.03501464045970389</v>
      </c>
      <c r="N28">
        <f>IF(AND(COUNT($R$202:$R$301)&gt;0,MAX($R$202:$R$301)&gt;$N$22),MAX($R$202:$R$301),$N$22)</f>
        <v>0.09232381212222356</v>
      </c>
      <c r="O28">
        <v>0.5</v>
      </c>
      <c r="P28" t="e">
        <f>IF(OR($M$28&lt;$N$6,$M$28&gt;$N$8),$M$28,#N/A)</f>
        <v>#N/A</v>
      </c>
      <c r="Q28" t="e">
        <f>IF(OR(AND($M$28&lt;$N$5,$M$28&gt;=$N$6),AND($M$28&gt;$N$7,$M$28&lt;=$N$8)),$M$28,#N/A)</f>
        <v>#N/A</v>
      </c>
      <c r="R28">
        <f>IF(OR(AND($M$28&lt;$N$2,$M$28&gt;=$N$5),AND($M$28&gt;$N$4,$M$28&lt;=$N$7)),$M$28,"")</f>
        <v>-0.03501464045970389</v>
      </c>
      <c r="S28">
        <v>1.8</v>
      </c>
      <c r="T28">
        <f>$N$12</f>
        <v>0.02307781224890826</v>
      </c>
    </row>
    <row r="29" spans="1:19" ht="12.75">
      <c r="A29">
        <f>IF(ISBLANK(data!H31),"",data!H31)</f>
        <v>0.11555694380985097</v>
      </c>
      <c r="C29">
        <v>0.5</v>
      </c>
      <c r="D29" t="e">
        <f>IF(OR($A$29&lt;$B$6,$A$29&gt;$B$8),$A$29,#N/A)</f>
        <v>#N/A</v>
      </c>
      <c r="E29" t="e">
        <f>IF(OR(AND($A$29&lt;$B$5,$A$29&gt;=$B$6),AND($A$29&gt;$B$7,$A$29&lt;=$B$8)),$A$29,#N/A)</f>
        <v>#N/A</v>
      </c>
      <c r="F29">
        <f>IF(OR(AND($A$29&lt;$B$2,$A$29&gt;=$B$5),AND($A$29&gt;$B$4,$A$29&lt;=$B$7)),$A$29,"")</f>
        <v>0.11555694380985097</v>
      </c>
      <c r="M29">
        <f>IF(ISBLANK(data!H31),"",data!H31)</f>
        <v>0.11555694380985097</v>
      </c>
      <c r="O29">
        <v>0.5</v>
      </c>
      <c r="P29" t="e">
        <f>IF(OR($M$29&lt;$N$6,$M$29&gt;$N$8),$M$29,#N/A)</f>
        <v>#N/A</v>
      </c>
      <c r="Q29" t="e">
        <f>IF(OR(AND($M$29&lt;$N$5,$M$29&gt;=$N$6),AND($M$29&gt;$N$7,$M$29&lt;=$N$8)),$M$29,#N/A)</f>
        <v>#N/A</v>
      </c>
      <c r="R29">
        <f>IF(OR(AND($M$29&lt;$N$2,$M$29&gt;=$N$5),AND($M$29&gt;$N$4,$M$29&lt;=$N$7)),$M$29,"")</f>
        <v>0.11555694380985097</v>
      </c>
    </row>
    <row r="30" spans="1:20" ht="12.75">
      <c r="A30">
        <f>IF(ISBLANK(data!H32),"",data!H32)</f>
        <v>-0.001982917062175621</v>
      </c>
      <c r="C30">
        <v>0.5</v>
      </c>
      <c r="D30" t="e">
        <f>IF(OR($A$30&lt;$B$6,$A$30&gt;$B$8),$A$30,#N/A)</f>
        <v>#N/A</v>
      </c>
      <c r="E30" t="e">
        <f>IF(OR(AND($A$30&lt;$B$5,$A$30&gt;=$B$6),AND($A$30&gt;$B$7,$A$30&lt;=$B$8)),$A$30,#N/A)</f>
        <v>#N/A</v>
      </c>
      <c r="F30">
        <f>IF(OR(AND($A$30&lt;$B$2,$A$30&gt;=$B$5),AND($A$30&gt;$B$4,$A$30&lt;=$B$7)),$A$30,"")</f>
      </c>
      <c r="G30">
        <v>2.2</v>
      </c>
      <c r="H30">
        <f>$B$21</f>
        <v>0.01645132532477981</v>
      </c>
      <c r="M30">
        <f>IF(ISBLANK(data!H32),"",data!H32)</f>
        <v>-0.001982917062175621</v>
      </c>
      <c r="O30">
        <v>0.5</v>
      </c>
      <c r="P30" t="e">
        <f>IF(OR($M$30&lt;$N$6,$M$30&gt;$N$8),$M$30,#N/A)</f>
        <v>#N/A</v>
      </c>
      <c r="Q30" t="e">
        <f>IF(OR(AND($M$30&lt;$N$5,$M$30&gt;=$N$6),AND($M$30&gt;$N$7,$M$30&lt;=$N$8)),$M$30,#N/A)</f>
        <v>#N/A</v>
      </c>
      <c r="R30">
        <f>IF(OR(AND($M$30&lt;$N$2,$M$30&gt;=$N$5),AND($M$30&gt;$N$4,$M$30&lt;=$N$7)),$M$30,"")</f>
      </c>
      <c r="S30">
        <v>2.2</v>
      </c>
      <c r="T30">
        <f>$N$21</f>
        <v>0.01645132532477981</v>
      </c>
    </row>
    <row r="31" spans="1:20" ht="12.75">
      <c r="A31">
        <f>IF(ISBLANK(data!H33),"",data!H33)</f>
        <v>-0.02823413352331399</v>
      </c>
      <c r="C31">
        <v>0.5</v>
      </c>
      <c r="D31" t="e">
        <f>IF(OR($A$31&lt;$B$6,$A$31&gt;$B$8),$A$31,#N/A)</f>
        <v>#N/A</v>
      </c>
      <c r="E31" t="e">
        <f>IF(OR(AND($A$31&lt;$B$5,$A$31&gt;=$B$6),AND($A$31&gt;$B$7,$A$31&lt;=$B$8)),$A$31,#N/A)</f>
        <v>#N/A</v>
      </c>
      <c r="F31">
        <f>IF(OR(AND($A$31&lt;$B$2,$A$31&gt;=$B$5),AND($A$31&gt;$B$4,$A$31&lt;=$B$7)),$A$31,"")</f>
      </c>
      <c r="G31">
        <v>2.2</v>
      </c>
      <c r="H31">
        <f>$B$20</f>
        <v>-0.012011220800430523</v>
      </c>
      <c r="M31">
        <f>IF(ISBLANK(data!H33),"",data!H33)</f>
        <v>-0.02823413352331399</v>
      </c>
      <c r="O31">
        <v>0.5</v>
      </c>
      <c r="P31" t="e">
        <f>IF(OR($M$31&lt;$N$6,$M$31&gt;$N$8),$M$31,#N/A)</f>
        <v>#N/A</v>
      </c>
      <c r="Q31" t="e">
        <f>IF(OR(AND($M$31&lt;$N$5,$M$31&gt;=$N$6),AND($M$31&gt;$N$7,$M$31&lt;=$N$8)),$M$31,#N/A)</f>
        <v>#N/A</v>
      </c>
      <c r="R31">
        <f>IF(OR(AND($M$31&lt;$N$2,$M$31&gt;=$N$5),AND($M$31&gt;$N$4,$M$31&lt;=$N$7)),$M$31,"")</f>
      </c>
      <c r="S31">
        <v>2.2</v>
      </c>
      <c r="T31">
        <f>$N$20</f>
        <v>-0.012011220800430523</v>
      </c>
    </row>
    <row r="32" spans="1:20" ht="12.75">
      <c r="A32">
        <f>IF(ISBLANK(data!H34),"",data!H34)</f>
        <v>-0.029041045035858273</v>
      </c>
      <c r="C32">
        <v>0.5</v>
      </c>
      <c r="D32" t="e">
        <f>IF(OR($A$32&lt;$B$6,$A$32&gt;$B$8),$A$32,#N/A)</f>
        <v>#N/A</v>
      </c>
      <c r="E32" t="e">
        <f>IF(OR(AND($A$32&lt;$B$5,$A$32&gt;=$B$6),AND($A$32&gt;$B$7,$A$32&lt;=$B$8)),$A$32,#N/A)</f>
        <v>#N/A</v>
      </c>
      <c r="F32">
        <f>IF(OR(AND($A$32&lt;$B$2,$A$32&gt;=$B$5),AND($A$32&gt;$B$4,$A$32&lt;=$B$7)),$A$32,"")</f>
      </c>
      <c r="G32">
        <v>2.5</v>
      </c>
      <c r="H32">
        <f>$B$20</f>
        <v>-0.012011220800430523</v>
      </c>
      <c r="M32">
        <f>IF(ISBLANK(data!H34),"",data!H34)</f>
        <v>-0.029041045035858273</v>
      </c>
      <c r="O32">
        <v>0.5</v>
      </c>
      <c r="P32" t="e">
        <f>IF(OR($M$32&lt;$N$6,$M$32&gt;$N$8),$M$32,#N/A)</f>
        <v>#N/A</v>
      </c>
      <c r="Q32" t="e">
        <f>IF(OR(AND($M$32&lt;$N$5,$M$32&gt;=$N$6),AND($M$32&gt;$N$7,$M$32&lt;=$N$8)),$M$32,#N/A)</f>
        <v>#N/A</v>
      </c>
      <c r="R32">
        <f>IF(OR(AND($M$32&lt;$N$2,$M$32&gt;=$N$5),AND($M$32&gt;$N$4,$M$32&lt;=$N$7)),$M$32,"")</f>
      </c>
      <c r="S32">
        <v>2.5</v>
      </c>
      <c r="T32">
        <f>$N$20</f>
        <v>-0.012011220800430523</v>
      </c>
    </row>
    <row r="33" spans="1:20" ht="12.75">
      <c r="A33">
        <f>IF(ISBLANK(data!H35),"",data!H35)</f>
        <v>0.059258095621347914</v>
      </c>
      <c r="C33">
        <v>0.5</v>
      </c>
      <c r="D33" t="e">
        <f>IF(OR($A$33&lt;$B$6,$A$33&gt;$B$8),$A$33,#N/A)</f>
        <v>#N/A</v>
      </c>
      <c r="E33" t="e">
        <f>IF(OR(AND($A$33&lt;$B$5,$A$33&gt;=$B$6),AND($A$33&gt;$B$7,$A$33&lt;=$B$8)),$A$33,#N/A)</f>
        <v>#N/A</v>
      </c>
      <c r="F33">
        <f>IF(OR(AND($A$33&lt;$B$2,$A$33&gt;=$B$5),AND($A$33&gt;$B$4,$A$33&lt;=$B$7)),$A$33,"")</f>
      </c>
      <c r="G33">
        <v>2.5</v>
      </c>
      <c r="H33">
        <f>$B$27</f>
        <v>-0.05918286528109512</v>
      </c>
      <c r="M33">
        <f>IF(ISBLANK(data!H35),"",data!H35)</f>
        <v>0.059258095621347914</v>
      </c>
      <c r="O33">
        <v>0.5</v>
      </c>
      <c r="P33" t="e">
        <f>IF(OR($M$33&lt;$N$6,$M$33&gt;$N$8),$M$33,#N/A)</f>
        <v>#N/A</v>
      </c>
      <c r="Q33" t="e">
        <f>IF(OR(AND($M$33&lt;$N$5,$M$33&gt;=$N$6),AND($M$33&gt;$N$7,$M$33&lt;=$N$8)),$M$33,#N/A)</f>
        <v>#N/A</v>
      </c>
      <c r="R33">
        <f>IF(OR(AND($M$33&lt;$N$2,$M$33&gt;=$N$5),AND($M$33&gt;$N$4,$M$33&lt;=$N$7)),$M$33,"")</f>
      </c>
      <c r="S33">
        <v>2.5</v>
      </c>
      <c r="T33">
        <f>$N$27</f>
        <v>-0.05918286528109512</v>
      </c>
    </row>
    <row r="34" spans="1:20" ht="12.75">
      <c r="A34">
        <f>IF(ISBLANK(data!H36),"",data!H36)</f>
        <v>0.12130135410021774</v>
      </c>
      <c r="C34">
        <v>0.5</v>
      </c>
      <c r="D34" t="e">
        <f>IF(OR($A$34&lt;$B$6,$A$34&gt;$B$8),$A$34,#N/A)</f>
        <v>#N/A</v>
      </c>
      <c r="E34" t="e">
        <f>IF(OR(AND($A$34&lt;$B$5,$A$34&gt;=$B$6),AND($A$34&gt;$B$7,$A$34&lt;=$B$8)),$A$34,#N/A)</f>
        <v>#N/A</v>
      </c>
      <c r="F34">
        <f>IF(OR(AND($A$34&lt;$B$2,$A$34&gt;=$B$5),AND($A$34&gt;$B$4,$A$34&lt;=$B$7)),$A$34,"")</f>
        <v>0.12130135410021774</v>
      </c>
      <c r="G34">
        <v>2.5</v>
      </c>
      <c r="H34">
        <f>$B$20</f>
        <v>-0.012011220800430523</v>
      </c>
      <c r="M34">
        <f>IF(ISBLANK(data!H36),"",data!H36)</f>
        <v>0.12130135410021774</v>
      </c>
      <c r="O34">
        <v>0.5</v>
      </c>
      <c r="P34" t="e">
        <f>IF(OR($M$34&lt;$N$6,$M$34&gt;$N$8),$M$34,#N/A)</f>
        <v>#N/A</v>
      </c>
      <c r="Q34" t="e">
        <f>IF(OR(AND($M$34&lt;$N$5,$M$34&gt;=$N$6),AND($M$34&gt;$N$7,$M$34&lt;=$N$8)),$M$34,#N/A)</f>
        <v>#N/A</v>
      </c>
      <c r="R34">
        <f>IF(OR(AND($M$34&lt;$N$2,$M$34&gt;=$N$5),AND($M$34&gt;$N$4,$M$34&lt;=$N$7)),$M$34,"")</f>
        <v>0.12130135410021774</v>
      </c>
      <c r="S34">
        <v>2.5</v>
      </c>
      <c r="T34">
        <f>$N$20</f>
        <v>-0.012011220800430523</v>
      </c>
    </row>
    <row r="35" spans="1:20" ht="12.75">
      <c r="A35">
        <f>IF(ISBLANK(data!H37),"",data!H37)</f>
        <v>0.13923462224000263</v>
      </c>
      <c r="C35">
        <v>0.5</v>
      </c>
      <c r="D35" t="e">
        <f>IF(OR($A$35&lt;$B$6,$A$35&gt;$B$8),$A$35,#N/A)</f>
        <v>#N/A</v>
      </c>
      <c r="E35" t="e">
        <f>IF(OR(AND($A$35&lt;$B$5,$A$35&gt;=$B$6),AND($A$35&gt;$B$7,$A$35&lt;=$B$8)),$A$35,#N/A)</f>
        <v>#N/A</v>
      </c>
      <c r="F35">
        <f>IF(OR(AND($A$35&lt;$B$2,$A$35&gt;=$B$5),AND($A$35&gt;$B$4,$A$35&lt;=$B$7)),$A$35,"")</f>
        <v>0.13923462224000263</v>
      </c>
      <c r="G35">
        <v>2.8</v>
      </c>
      <c r="H35">
        <f>$B$20</f>
        <v>-0.012011220800430523</v>
      </c>
      <c r="M35">
        <f>IF(ISBLANK(data!H37),"",data!H37)</f>
        <v>0.13923462224000263</v>
      </c>
      <c r="O35">
        <v>0.5</v>
      </c>
      <c r="P35" t="e">
        <f>IF(OR($M$35&lt;$N$6,$M$35&gt;$N$8),$M$35,#N/A)</f>
        <v>#N/A</v>
      </c>
      <c r="Q35" t="e">
        <f>IF(OR(AND($M$35&lt;$N$5,$M$35&gt;=$N$6),AND($M$35&gt;$N$7,$M$35&lt;=$N$8)),$M$35,#N/A)</f>
        <v>#N/A</v>
      </c>
      <c r="R35">
        <f>IF(OR(AND($M$35&lt;$N$2,$M$35&gt;=$N$5),AND($M$35&gt;$N$4,$M$35&lt;=$N$7)),$M$35,"")</f>
        <v>0.13923462224000263</v>
      </c>
      <c r="S35">
        <v>2.8</v>
      </c>
      <c r="T35">
        <f>$N$20</f>
        <v>-0.012011220800430523</v>
      </c>
    </row>
    <row r="36" spans="1:20" ht="12.75">
      <c r="A36">
        <f>IF(ISBLANK(data!H38),"",data!H38)</f>
        <v>0.03529376590056819</v>
      </c>
      <c r="C36">
        <v>0.5</v>
      </c>
      <c r="D36" t="e">
        <f>IF(OR($A$36&lt;$B$6,$A$36&gt;$B$8),$A$36,#N/A)</f>
        <v>#N/A</v>
      </c>
      <c r="E36" t="e">
        <f>IF(OR(AND($A$36&lt;$B$5,$A$36&gt;=$B$6),AND($A$36&gt;$B$7,$A$36&lt;=$B$8)),$A$36,#N/A)</f>
        <v>#N/A</v>
      </c>
      <c r="F36">
        <f>IF(OR(AND($A$36&lt;$B$2,$A$36&gt;=$B$5),AND($A$36&gt;$B$4,$A$36&lt;=$B$7)),$A$36,"")</f>
      </c>
      <c r="G36">
        <v>2.8</v>
      </c>
      <c r="H36">
        <f>$B$22</f>
        <v>0.03820004113480118</v>
      </c>
      <c r="M36">
        <f>IF(ISBLANK(data!H38),"",data!H38)</f>
        <v>0.03529376590056819</v>
      </c>
      <c r="O36">
        <v>0.5</v>
      </c>
      <c r="P36" t="e">
        <f>IF(OR($M$36&lt;$N$6,$M$36&gt;$N$8),$M$36,#N/A)</f>
        <v>#N/A</v>
      </c>
      <c r="Q36" t="e">
        <f>IF(OR(AND($M$36&lt;$N$5,$M$36&gt;=$N$6),AND($M$36&gt;$N$7,$M$36&lt;=$N$8)),$M$36,#N/A)</f>
        <v>#N/A</v>
      </c>
      <c r="R36">
        <f>IF(OR(AND($M$36&lt;$N$2,$M$36&gt;=$N$5),AND($M$36&gt;$N$4,$M$36&lt;=$N$7)),$M$36,"")</f>
      </c>
      <c r="S36">
        <v>2.8</v>
      </c>
      <c r="T36">
        <f>$N$22</f>
        <v>0.03820004113480118</v>
      </c>
    </row>
    <row r="37" spans="1:20" ht="12.75">
      <c r="A37">
        <f>IF(ISBLANK(data!H39),"",data!H39)</f>
        <v>0.065005424845542</v>
      </c>
      <c r="C37">
        <v>0.5</v>
      </c>
      <c r="D37" t="e">
        <f>IF(OR($A$37&lt;$B$6,$A$37&gt;$B$8),$A$37,#N/A)</f>
        <v>#N/A</v>
      </c>
      <c r="E37" t="e">
        <f>IF(OR(AND($A$37&lt;$B$5,$A$37&gt;=$B$6),AND($A$37&gt;$B$7,$A$37&lt;=$B$8)),$A$37,#N/A)</f>
        <v>#N/A</v>
      </c>
      <c r="F37">
        <f>IF(OR(AND($A$37&lt;$B$2,$A$37&gt;=$B$5),AND($A$37&gt;$B$4,$A$37&lt;=$B$7)),$A$37,"")</f>
      </c>
      <c r="G37">
        <v>2.5</v>
      </c>
      <c r="H37">
        <f>$B$22</f>
        <v>0.03820004113480118</v>
      </c>
      <c r="M37">
        <f>IF(ISBLANK(data!H39),"",data!H39)</f>
        <v>0.065005424845542</v>
      </c>
      <c r="O37">
        <v>0.5</v>
      </c>
      <c r="P37" t="e">
        <f>IF(OR($M$37&lt;$N$6,$M$37&gt;$N$8),$M$37,#N/A)</f>
        <v>#N/A</v>
      </c>
      <c r="Q37" t="e">
        <f>IF(OR(AND($M$37&lt;$N$5,$M$37&gt;=$N$6),AND($M$37&gt;$N$7,$M$37&lt;=$N$8)),$M$37,#N/A)</f>
        <v>#N/A</v>
      </c>
      <c r="R37">
        <f>IF(OR(AND($M$37&lt;$N$2,$M$37&gt;=$N$5),AND($M$37&gt;$N$4,$M$37&lt;=$N$7)),$M$37,"")</f>
      </c>
      <c r="S37">
        <v>2.5</v>
      </c>
      <c r="T37">
        <f>$N$22</f>
        <v>0.03820004113480118</v>
      </c>
    </row>
    <row r="38" spans="1:20" ht="12.75">
      <c r="A38">
        <f>IF(ISBLANK(data!H40),"",data!H40)</f>
        <v>0.001379957228017149</v>
      </c>
      <c r="C38">
        <v>0.5</v>
      </c>
      <c r="D38" t="e">
        <f>IF(OR($A$38&lt;$B$6,$A$38&gt;$B$8),$A$38,#N/A)</f>
        <v>#N/A</v>
      </c>
      <c r="E38" t="e">
        <f>IF(OR(AND($A$38&lt;$B$5,$A$38&gt;=$B$6),AND($A$38&gt;$B$7,$A$38&lt;=$B$8)),$A$38,#N/A)</f>
        <v>#N/A</v>
      </c>
      <c r="F38">
        <f>IF(OR(AND($A$38&lt;$B$2,$A$38&gt;=$B$5),AND($A$38&gt;$B$4,$A$38&lt;=$B$7)),$A$38,"")</f>
      </c>
      <c r="G38">
        <v>2.5</v>
      </c>
      <c r="H38">
        <f>$B$28</f>
        <v>0.09232381212222356</v>
      </c>
      <c r="M38">
        <f>IF(ISBLANK(data!H40),"",data!H40)</f>
        <v>0.001379957228017149</v>
      </c>
      <c r="O38">
        <v>0.5</v>
      </c>
      <c r="P38" t="e">
        <f>IF(OR($M$38&lt;$N$6,$M$38&gt;$N$8),$M$38,#N/A)</f>
        <v>#N/A</v>
      </c>
      <c r="Q38" t="e">
        <f>IF(OR(AND($M$38&lt;$N$5,$M$38&gt;=$N$6),AND($M$38&gt;$N$7,$M$38&lt;=$N$8)),$M$38,#N/A)</f>
        <v>#N/A</v>
      </c>
      <c r="R38">
        <f>IF(OR(AND($M$38&lt;$N$2,$M$38&gt;=$N$5),AND($M$38&gt;$N$4,$M$38&lt;=$N$7)),$M$38,"")</f>
      </c>
      <c r="S38">
        <v>2.5</v>
      </c>
      <c r="T38">
        <f>$N$28</f>
        <v>0.09232381212222356</v>
      </c>
    </row>
    <row r="39" spans="1:20" ht="12.75">
      <c r="A39">
        <f>IF(ISBLANK(data!H41),"",data!H41)</f>
        <v>0.021858793812499017</v>
      </c>
      <c r="C39">
        <v>0.5</v>
      </c>
      <c r="D39" t="e">
        <f>IF(OR($A$39&lt;$B$6,$A$39&gt;$B$8),$A$39,#N/A)</f>
        <v>#N/A</v>
      </c>
      <c r="E39" t="e">
        <f>IF(OR(AND($A$39&lt;$B$5,$A$39&gt;=$B$6),AND($A$39&gt;$B$7,$A$39&lt;=$B$8)),$A$39,#N/A)</f>
        <v>#N/A</v>
      </c>
      <c r="F39">
        <f>IF(OR(AND($A$39&lt;$B$2,$A$39&gt;=$B$5),AND($A$39&gt;$B$4,$A$39&lt;=$B$7)),$A$39,"")</f>
      </c>
      <c r="G39">
        <v>2.5</v>
      </c>
      <c r="H39">
        <f>$B$22</f>
        <v>0.03820004113480118</v>
      </c>
      <c r="M39">
        <f>IF(ISBLANK(data!H41),"",data!H41)</f>
        <v>0.021858793812499017</v>
      </c>
      <c r="O39">
        <v>0.5</v>
      </c>
      <c r="P39" t="e">
        <f>IF(OR($M$39&lt;$N$6,$M$39&gt;$N$8),$M$39,#N/A)</f>
        <v>#N/A</v>
      </c>
      <c r="Q39" t="e">
        <f>IF(OR(AND($M$39&lt;$N$5,$M$39&gt;=$N$6),AND($M$39&gt;$N$7,$M$39&lt;=$N$8)),$M$39,#N/A)</f>
        <v>#N/A</v>
      </c>
      <c r="R39">
        <f>IF(OR(AND($M$39&lt;$N$2,$M$39&gt;=$N$5),AND($M$39&gt;$N$4,$M$39&lt;=$N$7)),$M$39,"")</f>
      </c>
      <c r="S39">
        <v>2.5</v>
      </c>
      <c r="T39">
        <f>$N$22</f>
        <v>0.03820004113480118</v>
      </c>
    </row>
    <row r="40" spans="1:20" ht="12.75">
      <c r="A40">
        <f>IF(ISBLANK(data!H42),"",data!H42)</f>
        <v>-0.021858793812499073</v>
      </c>
      <c r="C40">
        <v>0.5</v>
      </c>
      <c r="D40" t="e">
        <f>IF(OR($A$40&lt;$B$6,$A$40&gt;$B$8),$A$40,#N/A)</f>
        <v>#N/A</v>
      </c>
      <c r="E40" t="e">
        <f>IF(OR(AND($A$40&lt;$B$5,$A$40&gt;=$B$6),AND($A$40&gt;$B$7,$A$40&lt;=$B$8)),$A$40,#N/A)</f>
        <v>#N/A</v>
      </c>
      <c r="F40">
        <f>IF(OR(AND($A$40&lt;$B$2,$A$40&gt;=$B$5),AND($A$40&gt;$B$4,$A$40&lt;=$B$7)),$A$40,"")</f>
      </c>
      <c r="G40">
        <v>2.2</v>
      </c>
      <c r="H40">
        <f>$B$22</f>
        <v>0.03820004113480118</v>
      </c>
      <c r="M40">
        <f>IF(ISBLANK(data!H42),"",data!H42)</f>
        <v>-0.021858793812499073</v>
      </c>
      <c r="O40">
        <v>0.5</v>
      </c>
      <c r="P40" t="e">
        <f>IF(OR($M$40&lt;$N$6,$M$40&gt;$N$8),$M$40,#N/A)</f>
        <v>#N/A</v>
      </c>
      <c r="Q40" t="e">
        <f>IF(OR(AND($M$40&lt;$N$5,$M$40&gt;=$N$6),AND($M$40&gt;$N$7,$M$40&lt;=$N$8)),$M$40,#N/A)</f>
        <v>#N/A</v>
      </c>
      <c r="R40">
        <f>IF(OR(AND($M$40&lt;$N$2,$M$40&gt;=$N$5),AND($M$40&gt;$N$4,$M$40&lt;=$N$7)),$M$40,"")</f>
      </c>
      <c r="S40">
        <v>2.2</v>
      </c>
      <c r="T40">
        <f>$N$22</f>
        <v>0.03820004113480118</v>
      </c>
    </row>
    <row r="41" spans="1:20" ht="12.75">
      <c r="A41">
        <f>IF(ISBLANK(data!H43),"",data!H43)</f>
        <v>0.09982033528221099</v>
      </c>
      <c r="C41">
        <v>0.5</v>
      </c>
      <c r="D41" t="e">
        <f>IF(OR($A$41&lt;$B$6,$A$41&gt;$B$8),$A$41,#N/A)</f>
        <v>#N/A</v>
      </c>
      <c r="E41" t="e">
        <f>IF(OR(AND($A$41&lt;$B$5,$A$41&gt;=$B$6),AND($A$41&gt;$B$7,$A$41&lt;=$B$8)),$A$41,#N/A)</f>
        <v>#N/A</v>
      </c>
      <c r="F41">
        <f>IF(OR(AND($A$41&lt;$B$2,$A$41&gt;=$B$5),AND($A$41&gt;$B$4,$A$41&lt;=$B$7)),$A$41,"")</f>
        <v>0.09982033528221099</v>
      </c>
      <c r="G41">
        <v>2.2</v>
      </c>
      <c r="H41">
        <f>$B$21</f>
        <v>0.01645132532477981</v>
      </c>
      <c r="M41">
        <f>IF(ISBLANK(data!H43),"",data!H43)</f>
        <v>0.09982033528221099</v>
      </c>
      <c r="O41">
        <v>0.5</v>
      </c>
      <c r="P41" t="e">
        <f>IF(OR($M$41&lt;$N$6,$M$41&gt;$N$8),$M$41,#N/A)</f>
        <v>#N/A</v>
      </c>
      <c r="Q41" t="e">
        <f>IF(OR(AND($M$41&lt;$N$5,$M$41&gt;=$N$6),AND($M$41&gt;$N$7,$M$41&lt;=$N$8)),$M$41,#N/A)</f>
        <v>#N/A</v>
      </c>
      <c r="R41">
        <f>IF(OR(AND($M$41&lt;$N$2,$M$41&gt;=$N$5),AND($M$41&gt;$N$4,$M$41&lt;=$N$7)),$M$41,"")</f>
        <v>0.09982033528221099</v>
      </c>
      <c r="S41">
        <v>2.2</v>
      </c>
      <c r="T41">
        <f>$N$21</f>
        <v>0.01645132532477981</v>
      </c>
    </row>
    <row r="42" spans="1:20" ht="12.75">
      <c r="A42">
        <f>IF(ISBLANK(data!H44),"",data!H44)</f>
        <v>-0.13782861246240558</v>
      </c>
      <c r="C42">
        <v>0.5</v>
      </c>
      <c r="D42" t="e">
        <f>IF(OR($A$42&lt;$B$6,$A$42&gt;$B$8),$A$42,#N/A)</f>
        <v>#N/A</v>
      </c>
      <c r="E42" t="e">
        <f>IF(OR(AND($A$42&lt;$B$5,$A$42&gt;=$B$6),AND($A$42&gt;$B$7,$A$42&lt;=$B$8)),$A$42,#N/A)</f>
        <v>#N/A</v>
      </c>
      <c r="F42">
        <f>IF(OR(AND($A$42&lt;$B$2,$A$42&gt;=$B$5),AND($A$42&gt;$B$4,$A$42&lt;=$B$7)),$A$42,"")</f>
        <v>-0.13782861246240558</v>
      </c>
      <c r="G42">
        <v>2.8</v>
      </c>
      <c r="H42">
        <f>$B$21</f>
        <v>0.01645132532477981</v>
      </c>
      <c r="M42">
        <f>IF(ISBLANK(data!H44),"",data!H44)</f>
        <v>-0.13782861246240558</v>
      </c>
      <c r="O42">
        <v>0.5</v>
      </c>
      <c r="P42" t="e">
        <f>IF(OR($M$42&lt;$N$6,$M$42&gt;$N$8),$M$42,#N/A)</f>
        <v>#N/A</v>
      </c>
      <c r="Q42" t="e">
        <f>IF(OR(AND($M$42&lt;$N$5,$M$42&gt;=$N$6),AND($M$42&gt;$N$7,$M$42&lt;=$N$8)),$M$42,#N/A)</f>
        <v>#N/A</v>
      </c>
      <c r="R42">
        <f>IF(OR(AND($M$42&lt;$N$2,$M$42&gt;=$N$5),AND($M$42&gt;$N$4,$M$42&lt;=$N$7)),$M$42,"")</f>
        <v>-0.13782861246240558</v>
      </c>
      <c r="S42">
        <v>2.8</v>
      </c>
      <c r="T42">
        <f>$N$21</f>
        <v>0.01645132532477981</v>
      </c>
    </row>
    <row r="43" spans="1:19" ht="12.75">
      <c r="A43">
        <f>IF(ISBLANK(data!H45),"",data!H45)</f>
        <v>0.007154847214458238</v>
      </c>
      <c r="C43">
        <v>0.5</v>
      </c>
      <c r="D43" t="e">
        <f>IF(OR($A$43&lt;$B$6,$A$43&gt;$B$8),$A$43,#N/A)</f>
        <v>#N/A</v>
      </c>
      <c r="E43" t="e">
        <f>IF(OR(AND($A$43&lt;$B$5,$A$43&gt;=$B$6),AND($A$43&gt;$B$7,$A$43&lt;=$B$8)),$A$43,#N/A)</f>
        <v>#N/A</v>
      </c>
      <c r="F43">
        <f>IF(OR(AND($A$43&lt;$B$2,$A$43&gt;=$B$5),AND($A$43&gt;$B$4,$A$43&lt;=$B$7)),$A$43,"")</f>
      </c>
      <c r="M43">
        <f>IF(ISBLANK(data!H45),"",data!H45)</f>
        <v>0.007154847214458238</v>
      </c>
      <c r="O43">
        <v>0.5</v>
      </c>
      <c r="P43" t="e">
        <f>IF(OR($M$43&lt;$N$6,$M$43&gt;$N$8),$M$43,#N/A)</f>
        <v>#N/A</v>
      </c>
      <c r="Q43" t="e">
        <f>IF(OR(AND($M$43&lt;$N$5,$M$43&gt;=$N$6),AND($M$43&gt;$N$7,$M$43&lt;=$N$8)),$M$43,#N/A)</f>
        <v>#N/A</v>
      </c>
      <c r="R43">
        <f>IF(OR(AND($M$43&lt;$N$2,$M$43&gt;=$N$5),AND($M$43&gt;$N$4,$M$43&lt;=$N$7)),$M$43,"")</f>
      </c>
    </row>
    <row r="44" spans="1:18" ht="12.75">
      <c r="A44">
        <f>IF(ISBLANK(data!H46),"",data!H46)</f>
        <v>0.05271222377823551</v>
      </c>
      <c r="C44">
        <v>0.5</v>
      </c>
      <c r="D44" t="e">
        <f>IF(OR($A$44&lt;$B$6,$A$44&gt;$B$8),$A$44,#N/A)</f>
        <v>#N/A</v>
      </c>
      <c r="E44" t="e">
        <f>IF(OR(AND($A$44&lt;$B$5,$A$44&gt;=$B$6),AND($A$44&gt;$B$7,$A$44&lt;=$B$8)),$A$44,#N/A)</f>
        <v>#N/A</v>
      </c>
      <c r="F44">
        <f>IF(OR(AND($A$44&lt;$B$2,$A$44&gt;=$B$5),AND($A$44&gt;$B$4,$A$44&lt;=$B$7)),$A$44,"")</f>
      </c>
      <c r="M44">
        <f>IF(ISBLANK(data!H46),"",data!H46)</f>
        <v>0.05271222377823551</v>
      </c>
      <c r="O44">
        <v>0.5</v>
      </c>
      <c r="P44" t="e">
        <f>IF(OR($M$44&lt;$N$6,$M$44&gt;$N$8),$M$44,#N/A)</f>
        <v>#N/A</v>
      </c>
      <c r="Q44" t="e">
        <f>IF(OR(AND($M$44&lt;$N$5,$M$44&gt;=$N$6),AND($M$44&gt;$N$7,$M$44&lt;=$N$8)),$M$44,#N/A)</f>
        <v>#N/A</v>
      </c>
      <c r="R44">
        <f>IF(OR(AND($M$44&lt;$N$2,$M$44&gt;=$N$5),AND($M$44&gt;$N$4,$M$44&lt;=$N$7)),$M$44,"")</f>
      </c>
    </row>
    <row r="45" spans="1:18" ht="12.75">
      <c r="A45">
        <f>IF(ISBLANK(data!H47),"",data!H47)</f>
        <v>0.06474660759419078</v>
      </c>
      <c r="C45">
        <v>0.5</v>
      </c>
      <c r="D45" t="e">
        <f>IF(OR($A$45&lt;$B$6,$A$45&gt;$B$8),$A$45,#N/A)</f>
        <v>#N/A</v>
      </c>
      <c r="E45" t="e">
        <f>IF(OR(AND($A$45&lt;$B$5,$A$45&gt;=$B$6),AND($A$45&gt;$B$7,$A$45&lt;=$B$8)),$A$45,#N/A)</f>
        <v>#N/A</v>
      </c>
      <c r="F45">
        <f>IF(OR(AND($A$45&lt;$B$2,$A$45&gt;=$B$5),AND($A$45&gt;$B$4,$A$45&lt;=$B$7)),$A$45,"")</f>
      </c>
      <c r="M45">
        <f>IF(ISBLANK(data!H47),"",data!H47)</f>
        <v>0.06474660759419078</v>
      </c>
      <c r="O45">
        <v>0.5</v>
      </c>
      <c r="P45" t="e">
        <f>IF(OR($M$45&lt;$N$6,$M$45&gt;$N$8),$M$45,#N/A)</f>
        <v>#N/A</v>
      </c>
      <c r="Q45" t="e">
        <f>IF(OR(AND($M$45&lt;$N$5,$M$45&gt;=$N$6),AND($M$45&gt;$N$7,$M$45&lt;=$N$8)),$M$45,#N/A)</f>
        <v>#N/A</v>
      </c>
      <c r="R45">
        <f>IF(OR(AND($M$45&lt;$N$2,$M$45&gt;=$N$5),AND($M$45&gt;$N$4,$M$45&lt;=$N$7)),$M$45,"")</f>
      </c>
    </row>
    <row r="46" spans="1:18" ht="12.75">
      <c r="A46">
        <f>IF(ISBLANK(data!H48),"",data!H48)</f>
        <v>0.04398465314645467</v>
      </c>
      <c r="C46">
        <v>0.5</v>
      </c>
      <c r="D46" t="e">
        <f>IF(OR($A$46&lt;$B$6,$A$46&gt;$B$8),$A$46,#N/A)</f>
        <v>#N/A</v>
      </c>
      <c r="E46" t="e">
        <f>IF(OR(AND($A$46&lt;$B$5,$A$46&gt;=$B$6),AND($A$46&gt;$B$7,$A$46&lt;=$B$8)),$A$46,#N/A)</f>
        <v>#N/A</v>
      </c>
      <c r="F46">
        <f>IF(OR(AND($A$46&lt;$B$2,$A$46&gt;=$B$5),AND($A$46&gt;$B$4,$A$46&lt;=$B$7)),$A$46,"")</f>
      </c>
      <c r="M46">
        <f>IF(ISBLANK(data!H48),"",data!H48)</f>
        <v>0.04398465314645467</v>
      </c>
      <c r="O46">
        <v>0.5</v>
      </c>
      <c r="P46" t="e">
        <f>IF(OR($M$46&lt;$N$6,$M$46&gt;$N$8),$M$46,#N/A)</f>
        <v>#N/A</v>
      </c>
      <c r="Q46" t="e">
        <f>IF(OR(AND($M$46&lt;$N$5,$M$46&gt;=$N$6),AND($M$46&gt;$N$7,$M$46&lt;=$N$8)),$M$46,#N/A)</f>
        <v>#N/A</v>
      </c>
      <c r="R46">
        <f>IF(OR(AND($M$46&lt;$N$2,$M$46&gt;=$N$5),AND($M$46&gt;$N$4,$M$46&lt;=$N$7)),$M$46,"")</f>
      </c>
    </row>
    <row r="47" spans="1:18" ht="12.75">
      <c r="A47">
        <f>IF(ISBLANK(data!H49),"",data!H49)</f>
        <v>0.09365432708905076</v>
      </c>
      <c r="C47">
        <v>0.5</v>
      </c>
      <c r="D47" t="e">
        <f>IF(OR($A$47&lt;$B$6,$A$47&gt;$B$8),$A$47,#N/A)</f>
        <v>#N/A</v>
      </c>
      <c r="E47" t="e">
        <f>IF(OR(AND($A$47&lt;$B$5,$A$47&gt;=$B$6),AND($A$47&gt;$B$7,$A$47&lt;=$B$8)),$A$47,#N/A)</f>
        <v>#N/A</v>
      </c>
      <c r="F47">
        <f>IF(OR(AND($A$47&lt;$B$2,$A$47&gt;=$B$5),AND($A$47&gt;$B$4,$A$47&lt;=$B$7)),$A$47,"")</f>
      </c>
      <c r="M47">
        <f>IF(ISBLANK(data!H49),"",data!H49)</f>
        <v>0.09365432708905076</v>
      </c>
      <c r="O47">
        <v>0.5</v>
      </c>
      <c r="P47" t="e">
        <f>IF(OR($M$47&lt;$N$6,$M$47&gt;$N$8),$M$47,#N/A)</f>
        <v>#N/A</v>
      </c>
      <c r="Q47" t="e">
        <f>IF(OR(AND($M$47&lt;$N$5,$M$47&gt;=$N$6),AND($M$47&gt;$N$7,$M$47&lt;=$N$8)),$M$47,#N/A)</f>
        <v>#N/A</v>
      </c>
      <c r="R47">
        <f>IF(OR(AND($M$47&lt;$N$2,$M$47&gt;=$N$5),AND($M$47&gt;$N$4,$M$47&lt;=$N$7)),$M$47,"")</f>
      </c>
    </row>
    <row r="48" spans="1:18" ht="12.75">
      <c r="A48">
        <f>IF(ISBLANK(data!H50),"",data!H50)</f>
        <v>0.04742957898205423</v>
      </c>
      <c r="C48">
        <v>0.5</v>
      </c>
      <c r="D48" t="e">
        <f>IF(OR($A$48&lt;$B$6,$A$48&gt;$B$8),$A$48,#N/A)</f>
        <v>#N/A</v>
      </c>
      <c r="E48" t="e">
        <f>IF(OR(AND($A$48&lt;$B$5,$A$48&gt;=$B$6),AND($A$48&gt;$B$7,$A$48&lt;=$B$8)),$A$48,#N/A)</f>
        <v>#N/A</v>
      </c>
      <c r="F48">
        <f>IF(OR(AND($A$48&lt;$B$2,$A$48&gt;=$B$5),AND($A$48&gt;$B$4,$A$48&lt;=$B$7)),$A$48,"")</f>
      </c>
      <c r="M48">
        <f>IF(ISBLANK(data!H50),"",data!H50)</f>
        <v>0.04742957898205423</v>
      </c>
      <c r="O48">
        <v>0.5</v>
      </c>
      <c r="P48" t="e">
        <f>IF(OR($M$48&lt;$N$6,$M$48&gt;$N$8),$M$48,#N/A)</f>
        <v>#N/A</v>
      </c>
      <c r="Q48" t="e">
        <f>IF(OR(AND($M$48&lt;$N$5,$M$48&gt;=$N$6),AND($M$48&gt;$N$7,$M$48&lt;=$N$8)),$M$48,#N/A)</f>
        <v>#N/A</v>
      </c>
      <c r="R48">
        <f>IF(OR(AND($M$48&lt;$N$2,$M$48&gt;=$N$5),AND($M$48&gt;$N$4,$M$48&lt;=$N$7)),$M$48,"")</f>
      </c>
    </row>
    <row r="49" spans="1:18" ht="12.75">
      <c r="A49">
        <f>IF(ISBLANK(data!H51),"",data!H51)</f>
        <v>0.011507391026578209</v>
      </c>
      <c r="C49">
        <v>0.5</v>
      </c>
      <c r="D49" t="e">
        <f>IF(OR($A$49&lt;$B$6,$A$49&gt;$B$8),$A$49,#N/A)</f>
        <v>#N/A</v>
      </c>
      <c r="E49" t="e">
        <f>IF(OR(AND($A$49&lt;$B$5,$A$49&gt;=$B$6),AND($A$49&gt;$B$7,$A$49&lt;=$B$8)),$A$49,#N/A)</f>
        <v>#N/A</v>
      </c>
      <c r="F49">
        <f>IF(OR(AND($A$49&lt;$B$2,$A$49&gt;=$B$5),AND($A$49&gt;$B$4,$A$49&lt;=$B$7)),$A$49,"")</f>
      </c>
      <c r="M49">
        <f>IF(ISBLANK(data!H51),"",data!H51)</f>
        <v>0.011507391026578209</v>
      </c>
      <c r="O49">
        <v>0.5</v>
      </c>
      <c r="P49" t="e">
        <f>IF(OR($M$49&lt;$N$6,$M$49&gt;$N$8),$M$49,#N/A)</f>
        <v>#N/A</v>
      </c>
      <c r="Q49" t="e">
        <f>IF(OR(AND($M$49&lt;$N$5,$M$49&gt;=$N$6),AND($M$49&gt;$N$7,$M$49&lt;=$N$8)),$M$49,#N/A)</f>
        <v>#N/A</v>
      </c>
      <c r="R49">
        <f>IF(OR(AND($M$49&lt;$N$2,$M$49&gt;=$N$5),AND($M$49&gt;$N$4,$M$49&lt;=$N$7)),$M$49,"")</f>
      </c>
    </row>
    <row r="50" spans="1:18" ht="12.75">
      <c r="A50">
        <f>IF(ISBLANK(data!H52),"",data!H52)</f>
        <v>-0.018904764691906856</v>
      </c>
      <c r="C50">
        <v>0.5</v>
      </c>
      <c r="D50" t="e">
        <f>IF(OR($A$50&lt;$B$6,$A$50&gt;$B$8),$A$50,#N/A)</f>
        <v>#N/A</v>
      </c>
      <c r="E50" t="e">
        <f>IF(OR(AND($A$50&lt;$B$5,$A$50&gt;=$B$6),AND($A$50&gt;$B$7,$A$50&lt;=$B$8)),$A$50,#N/A)</f>
        <v>#N/A</v>
      </c>
      <c r="F50">
        <f>IF(OR(AND($A$50&lt;$B$2,$A$50&gt;=$B$5),AND($A$50&gt;$B$4,$A$50&lt;=$B$7)),$A$50,"")</f>
      </c>
      <c r="M50">
        <f>IF(ISBLANK(data!H52),"",data!H52)</f>
        <v>-0.018904764691906856</v>
      </c>
      <c r="O50">
        <v>0.5</v>
      </c>
      <c r="P50" t="e">
        <f>IF(OR($M$50&lt;$N$6,$M$50&gt;$N$8),$M$50,#N/A)</f>
        <v>#N/A</v>
      </c>
      <c r="Q50" t="e">
        <f>IF(OR(AND($M$50&lt;$N$5,$M$50&gt;=$N$6),AND($M$50&gt;$N$7,$M$50&lt;=$N$8)),$M$50,#N/A)</f>
        <v>#N/A</v>
      </c>
      <c r="R50">
        <f>IF(OR(AND($M$50&lt;$N$2,$M$50&gt;=$N$5),AND($M$50&gt;$N$4,$M$50&lt;=$N$7)),$M$50,"")</f>
      </c>
    </row>
    <row r="51" spans="1:18" ht="12.75">
      <c r="A51">
        <f>IF(ISBLANK(data!H53),"",data!H53)</f>
        <v>0.03848459231998009</v>
      </c>
      <c r="C51">
        <v>0.5</v>
      </c>
      <c r="D51" t="e">
        <f>IF(OR($A$51&lt;$B$6,$A$51&gt;$B$8),$A$51,#N/A)</f>
        <v>#N/A</v>
      </c>
      <c r="E51" t="e">
        <f>IF(OR(AND($A$51&lt;$B$5,$A$51&gt;=$B$6),AND($A$51&gt;$B$7,$A$51&lt;=$B$8)),$A$51,#N/A)</f>
        <v>#N/A</v>
      </c>
      <c r="F51">
        <f>IF(OR(AND($A$51&lt;$B$2,$A$51&gt;=$B$5),AND($A$51&gt;$B$4,$A$51&lt;=$B$7)),$A$51,"")</f>
      </c>
      <c r="M51">
        <f>IF(ISBLANK(data!H53),"",data!H53)</f>
        <v>0.03848459231998009</v>
      </c>
      <c r="O51">
        <v>0.5</v>
      </c>
      <c r="P51" t="e">
        <f>IF(OR($M$51&lt;$N$6,$M$51&gt;$N$8),$M$51,#N/A)</f>
        <v>#N/A</v>
      </c>
      <c r="Q51" t="e">
        <f>IF(OR(AND($M$51&lt;$N$5,$M$51&gt;=$N$6),AND($M$51&gt;$N$7,$M$51&lt;=$N$8)),$M$51,#N/A)</f>
        <v>#N/A</v>
      </c>
      <c r="R51">
        <f>IF(OR(AND($M$51&lt;$N$2,$M$51&gt;=$N$5),AND($M$51&gt;$N$4,$M$51&lt;=$N$7)),$M$51,"")</f>
      </c>
    </row>
    <row r="52" spans="1:18" ht="12.75">
      <c r="A52">
        <f>IF(ISBLANK(data!H54),"",data!H54)</f>
        <v>0.07374499083207707</v>
      </c>
      <c r="C52">
        <v>0.5</v>
      </c>
      <c r="D52" t="e">
        <f>IF(OR($A$52&lt;$B$6,$A$52&gt;$B$8),$A$52,#N/A)</f>
        <v>#N/A</v>
      </c>
      <c r="E52" t="e">
        <f>IF(OR(AND($A$52&lt;$B$5,$A$52&gt;=$B$6),AND($A$52&gt;$B$7,$A$52&lt;=$B$8)),$A$52,#N/A)</f>
        <v>#N/A</v>
      </c>
      <c r="F52">
        <f>IF(OR(AND($A$52&lt;$B$2,$A$52&gt;=$B$5),AND($A$52&gt;$B$4,$A$52&lt;=$B$7)),$A$52,"")</f>
      </c>
      <c r="M52">
        <f>IF(ISBLANK(data!H54),"",data!H54)</f>
        <v>0.07374499083207707</v>
      </c>
      <c r="O52">
        <v>0.5</v>
      </c>
      <c r="P52" t="e">
        <f>IF(OR($M$52&lt;$N$6,$M$52&gt;$N$8),$M$52,#N/A)</f>
        <v>#N/A</v>
      </c>
      <c r="Q52" t="e">
        <f>IF(OR(AND($M$52&lt;$N$5,$M$52&gt;=$N$6),AND($M$52&gt;$N$7,$M$52&lt;=$N$8)),$M$52,#N/A)</f>
        <v>#N/A</v>
      </c>
      <c r="R52">
        <f>IF(OR(AND($M$52&lt;$N$2,$M$52&gt;=$N$5),AND($M$52&gt;$N$4,$M$52&lt;=$N$7)),$M$52,"")</f>
      </c>
    </row>
    <row r="53" spans="1:18" ht="12.75">
      <c r="A53">
        <f>IF(ISBLANK(data!H55),"",data!H55)</f>
        <v>0.03994514517873474</v>
      </c>
      <c r="C53">
        <v>0.5</v>
      </c>
      <c r="D53" t="e">
        <f>IF(OR($A$53&lt;$B$6,$A$53&gt;$B$8),$A$53,#N/A)</f>
        <v>#N/A</v>
      </c>
      <c r="E53" t="e">
        <f>IF(OR(AND($A$53&lt;$B$5,$A$53&gt;=$B$6),AND($A$53&gt;$B$7,$A$53&lt;=$B$8)),$A$53,#N/A)</f>
        <v>#N/A</v>
      </c>
      <c r="F53">
        <f>IF(OR(AND($A$53&lt;$B$2,$A$53&gt;=$B$5),AND($A$53&gt;$B$4,$A$53&lt;=$B$7)),$A$53,"")</f>
      </c>
      <c r="M53">
        <f>IF(ISBLANK(data!H55),"",data!H55)</f>
        <v>0.03994514517873474</v>
      </c>
      <c r="O53">
        <v>0.5</v>
      </c>
      <c r="P53" t="e">
        <f>IF(OR($M$53&lt;$N$6,$M$53&gt;$N$8),$M$53,#N/A)</f>
        <v>#N/A</v>
      </c>
      <c r="Q53" t="e">
        <f>IF(OR(AND($M$53&lt;$N$5,$M$53&gt;=$N$6),AND($M$53&gt;$N$7,$M$53&lt;=$N$8)),$M$53,#N/A)</f>
        <v>#N/A</v>
      </c>
      <c r="R53">
        <f>IF(OR(AND($M$53&lt;$N$2,$M$53&gt;=$N$5),AND($M$53&gt;$N$4,$M$53&lt;=$N$7)),$M$53,"")</f>
      </c>
    </row>
    <row r="54" spans="1:18" ht="12.75">
      <c r="A54">
        <f>IF(ISBLANK(data!H56),"",data!H56)</f>
        <v>0.1336494187900406</v>
      </c>
      <c r="C54">
        <v>0.5</v>
      </c>
      <c r="D54" t="e">
        <f>IF(OR($A$54&lt;$B$6,$A$54&gt;$B$8),$A$54,#N/A)</f>
        <v>#N/A</v>
      </c>
      <c r="E54" t="e">
        <f>IF(OR(AND($A$54&lt;$B$5,$A$54&gt;=$B$6),AND($A$54&gt;$B$7,$A$54&lt;=$B$8)),$A$54,#N/A)</f>
        <v>#N/A</v>
      </c>
      <c r="F54">
        <f>IF(OR(AND($A$54&lt;$B$2,$A$54&gt;=$B$5),AND($A$54&gt;$B$4,$A$54&lt;=$B$7)),$A$54,"")</f>
        <v>0.1336494187900406</v>
      </c>
      <c r="M54">
        <f>IF(ISBLANK(data!H56),"",data!H56)</f>
        <v>0.1336494187900406</v>
      </c>
      <c r="O54">
        <v>0.5</v>
      </c>
      <c r="P54" t="e">
        <f>IF(OR($M$54&lt;$N$6,$M$54&gt;$N$8),$M$54,#N/A)</f>
        <v>#N/A</v>
      </c>
      <c r="Q54" t="e">
        <f>IF(OR(AND($M$54&lt;$N$5,$M$54&gt;=$N$6),AND($M$54&gt;$N$7,$M$54&lt;=$N$8)),$M$54,#N/A)</f>
        <v>#N/A</v>
      </c>
      <c r="R54">
        <f>IF(OR(AND($M$54&lt;$N$2,$M$54&gt;=$N$5),AND($M$54&gt;$N$4,$M$54&lt;=$N$7)),$M$54,"")</f>
        <v>0.1336494187900406</v>
      </c>
    </row>
    <row r="55" spans="1:18" ht="12.75">
      <c r="A55">
        <f>IF(ISBLANK(data!H57),"",data!H57)</f>
        <v>0.05200647336834543</v>
      </c>
      <c r="C55">
        <v>0.5</v>
      </c>
      <c r="D55" t="e">
        <f>IF(OR($A$55&lt;$B$6,$A$55&gt;$B$8),$A$55,#N/A)</f>
        <v>#N/A</v>
      </c>
      <c r="E55" t="e">
        <f>IF(OR(AND($A$55&lt;$B$5,$A$55&gt;=$B$6),AND($A$55&gt;$B$7,$A$55&lt;=$B$8)),$A$55,#N/A)</f>
        <v>#N/A</v>
      </c>
      <c r="F55">
        <f>IF(OR(AND($A$55&lt;$B$2,$A$55&gt;=$B$5),AND($A$55&gt;$B$4,$A$55&lt;=$B$7)),$A$55,"")</f>
      </c>
      <c r="M55">
        <f>IF(ISBLANK(data!H57),"",data!H57)</f>
        <v>0.05200647336834543</v>
      </c>
      <c r="O55">
        <v>0.5</v>
      </c>
      <c r="P55" t="e">
        <f>IF(OR($M$55&lt;$N$6,$M$55&gt;$N$8),$M$55,#N/A)</f>
        <v>#N/A</v>
      </c>
      <c r="Q55" t="e">
        <f>IF(OR(AND($M$55&lt;$N$5,$M$55&gt;=$N$6),AND($M$55&gt;$N$7,$M$55&lt;=$N$8)),$M$55,#N/A)</f>
        <v>#N/A</v>
      </c>
      <c r="R55">
        <f>IF(OR(AND($M$55&lt;$N$2,$M$55&gt;=$N$5),AND($M$55&gt;$N$4,$M$55&lt;=$N$7)),$M$55,"")</f>
      </c>
    </row>
    <row r="56" spans="1:18" ht="12.75">
      <c r="A56">
        <f>IF(ISBLANK(data!H58),"",data!H58)</f>
        <v>0.21066293569023703</v>
      </c>
      <c r="C56">
        <v>0.5</v>
      </c>
      <c r="D56" t="e">
        <f>IF(OR($A$56&lt;$B$6,$A$56&gt;$B$8),$A$56,#N/A)</f>
        <v>#N/A</v>
      </c>
      <c r="E56" t="e">
        <f>IF(OR(AND($A$56&lt;$B$5,$A$56&gt;=$B$6),AND($A$56&gt;$B$7,$A$56&lt;=$B$8)),$A$56,#N/A)</f>
        <v>#N/A</v>
      </c>
      <c r="F56">
        <f>IF(OR(AND($A$56&lt;$B$2,$A$56&gt;=$B$5),AND($A$56&gt;$B$4,$A$56&lt;=$B$7)),$A$56,"")</f>
        <v>0.21066293569023703</v>
      </c>
      <c r="M56">
        <f>IF(ISBLANK(data!H58),"",data!H58)</f>
        <v>0.21066293569023703</v>
      </c>
      <c r="O56">
        <v>0.5</v>
      </c>
      <c r="P56" t="e">
        <f>IF(OR($M$56&lt;$N$6,$M$56&gt;$N$8),$M$56,#N/A)</f>
        <v>#N/A</v>
      </c>
      <c r="Q56" t="e">
        <f>IF(OR(AND($M$56&lt;$N$5,$M$56&gt;=$N$6),AND($M$56&gt;$N$7,$M$56&lt;=$N$8)),$M$56,#N/A)</f>
        <v>#N/A</v>
      </c>
      <c r="R56">
        <f>IF(OR(AND($M$56&lt;$N$2,$M$56&gt;=$N$5),AND($M$56&gt;$N$4,$M$56&lt;=$N$7)),$M$56,"")</f>
        <v>0.21066293569023703</v>
      </c>
    </row>
    <row r="57" spans="1:18" ht="12.75">
      <c r="A57">
        <f>IF(ISBLANK(data!H59),"",data!H59)</f>
        <v>-0.045120435280469544</v>
      </c>
      <c r="C57">
        <v>0.5</v>
      </c>
      <c r="D57" t="e">
        <f>IF(OR($A$57&lt;$B$6,$A$57&gt;$B$8),$A$57,#N/A)</f>
        <v>#N/A</v>
      </c>
      <c r="E57" t="e">
        <f>IF(OR(AND($A$57&lt;$B$5,$A$57&gt;=$B$6),AND($A$57&gt;$B$7,$A$57&lt;=$B$8)),$A$57,#N/A)</f>
        <v>#N/A</v>
      </c>
      <c r="F57">
        <f>IF(OR(AND($A$57&lt;$B$2,$A$57&gt;=$B$5),AND($A$57&gt;$B$4,$A$57&lt;=$B$7)),$A$57,"")</f>
        <v>-0.045120435280469544</v>
      </c>
      <c r="M57">
        <f>IF(ISBLANK(data!H59),"",data!H59)</f>
        <v>-0.045120435280469544</v>
      </c>
      <c r="O57">
        <v>0.5</v>
      </c>
      <c r="P57" t="e">
        <f>IF(OR($M$57&lt;$N$6,$M$57&gt;$N$8),$M$57,#N/A)</f>
        <v>#N/A</v>
      </c>
      <c r="Q57" t="e">
        <f>IF(OR(AND($M$57&lt;$N$5,$M$57&gt;=$N$6),AND($M$57&gt;$N$7,$M$57&lt;=$N$8)),$M$57,#N/A)</f>
        <v>#N/A</v>
      </c>
      <c r="R57">
        <f>IF(OR(AND($M$57&lt;$N$2,$M$57&gt;=$N$5),AND($M$57&gt;$N$4,$M$57&lt;=$N$7)),$M$57,"")</f>
        <v>-0.045120435280469544</v>
      </c>
    </row>
    <row r="58" spans="1:18" ht="12.75">
      <c r="A58">
        <f>IF(ISBLANK(data!H60),"",data!H60)</f>
        <v>-0.06146523143998241</v>
      </c>
      <c r="C58">
        <v>0.5</v>
      </c>
      <c r="D58" t="e">
        <f>IF(OR($A$58&lt;$B$6,$A$58&gt;$B$8),$A$58,#N/A)</f>
        <v>#N/A</v>
      </c>
      <c r="E58" t="e">
        <f>IF(OR(AND($A$58&lt;$B$5,$A$58&gt;=$B$6),AND($A$58&gt;$B$7,$A$58&lt;=$B$8)),$A$58,#N/A)</f>
        <v>#N/A</v>
      </c>
      <c r="F58">
        <f>IF(OR(AND($A$58&lt;$B$2,$A$58&gt;=$B$5),AND($A$58&gt;$B$4,$A$58&lt;=$B$7)),$A$58,"")</f>
        <v>-0.06146523143998241</v>
      </c>
      <c r="M58">
        <f>IF(ISBLANK(data!H60),"",data!H60)</f>
        <v>-0.06146523143998241</v>
      </c>
      <c r="O58">
        <v>0.5</v>
      </c>
      <c r="P58" t="e">
        <f>IF(OR($M$58&lt;$N$6,$M$58&gt;$N$8),$M$58,#N/A)</f>
        <v>#N/A</v>
      </c>
      <c r="Q58" t="e">
        <f>IF(OR(AND($M$58&lt;$N$5,$M$58&gt;=$N$6),AND($M$58&gt;$N$7,$M$58&lt;=$N$8)),$M$58,#N/A)</f>
        <v>#N/A</v>
      </c>
      <c r="R58">
        <f>IF(OR(AND($M$58&lt;$N$2,$M$58&gt;=$N$5),AND($M$58&gt;$N$4,$M$58&lt;=$N$7)),$M$58,"")</f>
        <v>-0.06146523143998241</v>
      </c>
    </row>
    <row r="59" spans="1:18" ht="12.75">
      <c r="A59">
        <f>IF(ISBLANK(data!H61),"",data!H61)</f>
        <v>0.281527116216784</v>
      </c>
      <c r="C59">
        <v>0.5</v>
      </c>
      <c r="D59" t="e">
        <f>IF(OR($A$59&lt;$B$6,$A$59&gt;$B$8),$A$59,#N/A)</f>
        <v>#N/A</v>
      </c>
      <c r="E59">
        <f>IF(OR(AND($A$59&lt;$B$5,$A$59&gt;=$B$6),AND($A$59&gt;$B$7,$A$59&lt;=$B$8)),$A$59,#N/A)</f>
        <v>0.281527116216784</v>
      </c>
      <c r="F59">
        <f>IF(OR(AND($A$59&lt;$B$2,$A$59&gt;=$B$5),AND($A$59&gt;$B$4,$A$59&lt;=$B$7)),$A$59,"")</f>
      </c>
      <c r="M59">
        <f>IF(ISBLANK(data!H61),"",data!H61)</f>
        <v>0.281527116216784</v>
      </c>
      <c r="O59">
        <v>0.5</v>
      </c>
      <c r="P59" t="e">
        <f>IF(OR($M$59&lt;$N$6,$M$59&gt;$N$8),$M$59,#N/A)</f>
        <v>#N/A</v>
      </c>
      <c r="Q59">
        <f>IF(OR(AND($M$59&lt;$N$5,$M$59&gt;=$N$6),AND($M$59&gt;$N$7,$M$59&lt;=$N$8)),$M$59,#N/A)</f>
        <v>0.281527116216784</v>
      </c>
      <c r="R59">
        <f>IF(OR(AND($M$59&lt;$N$2,$M$59&gt;=$N$5),AND($M$59&gt;$N$4,$M$59&lt;=$N$7)),$M$59,"")</f>
      </c>
    </row>
    <row r="60" spans="1:18" ht="12.75">
      <c r="A60">
        <f>IF(ISBLANK(data!H62),"",data!H62)</f>
        <v>0.020367302824433733</v>
      </c>
      <c r="C60">
        <v>0.5</v>
      </c>
      <c r="D60" t="e">
        <f>IF(OR($A$60&lt;$B$6,$A$60&gt;$B$8),$A$60,#N/A)</f>
        <v>#N/A</v>
      </c>
      <c r="E60" t="e">
        <f>IF(OR(AND($A$60&lt;$B$5,$A$60&gt;=$B$6),AND($A$60&gt;$B$7,$A$60&lt;=$B$8)),$A$60,#N/A)</f>
        <v>#N/A</v>
      </c>
      <c r="F60">
        <f>IF(OR(AND($A$60&lt;$B$2,$A$60&gt;=$B$5),AND($A$60&gt;$B$4,$A$60&lt;=$B$7)),$A$60,"")</f>
      </c>
      <c r="M60">
        <f>IF(ISBLANK(data!H62),"",data!H62)</f>
        <v>0.020367302824433733</v>
      </c>
      <c r="O60">
        <v>0.5</v>
      </c>
      <c r="P60" t="e">
        <f>IF(OR($M$60&lt;$N$6,$M$60&gt;$N$8),$M$60,#N/A)</f>
        <v>#N/A</v>
      </c>
      <c r="Q60" t="e">
        <f>IF(OR(AND($M$60&lt;$N$5,$M$60&gt;=$N$6),AND($M$60&gt;$N$7,$M$60&lt;=$N$8)),$M$60,#N/A)</f>
        <v>#N/A</v>
      </c>
      <c r="R60">
        <f>IF(OR(AND($M$60&lt;$N$2,$M$60&gt;=$N$5),AND($M$60&gt;$N$4,$M$60&lt;=$N$7)),$M$60,"")</f>
      </c>
    </row>
    <row r="61" spans="1:18" ht="12.75">
      <c r="A61">
        <f>IF(ISBLANK(data!H63),"",data!H63)</f>
        <v>0.018973694325839858</v>
      </c>
      <c r="C61">
        <v>0.5</v>
      </c>
      <c r="D61" t="e">
        <f>IF(OR($A$61&lt;$B$6,$A$61&gt;$B$8),$A$61,#N/A)</f>
        <v>#N/A</v>
      </c>
      <c r="E61" t="e">
        <f>IF(OR(AND($A$61&lt;$B$5,$A$61&gt;=$B$6),AND($A$61&gt;$B$7,$A$61&lt;=$B$8)),$A$61,#N/A)</f>
        <v>#N/A</v>
      </c>
      <c r="F61">
        <f>IF(OR(AND($A$61&lt;$B$2,$A$61&gt;=$B$5),AND($A$61&gt;$B$4,$A$61&lt;=$B$7)),$A$61,"")</f>
      </c>
      <c r="M61">
        <f>IF(ISBLANK(data!H63),"",data!H63)</f>
        <v>0.018973694325839858</v>
      </c>
      <c r="O61">
        <v>0.5</v>
      </c>
      <c r="P61" t="e">
        <f>IF(OR($M$61&lt;$N$6,$M$61&gt;$N$8),$M$61,#N/A)</f>
        <v>#N/A</v>
      </c>
      <c r="Q61" t="e">
        <f>IF(OR(AND($M$61&lt;$N$5,$M$61&gt;=$N$6),AND($M$61&gt;$N$7,$M$61&lt;=$N$8)),$M$61,#N/A)</f>
        <v>#N/A</v>
      </c>
      <c r="R61">
        <f>IF(OR(AND($M$61&lt;$N$2,$M$61&gt;=$N$5),AND($M$61&gt;$N$4,$M$61&lt;=$N$7)),$M$61,"")</f>
      </c>
    </row>
    <row r="62" spans="1:18" ht="12.75">
      <c r="A62">
        <f>IF(ISBLANK(data!H64),"",data!H64)</f>
        <v>0.11216208918168385</v>
      </c>
      <c r="C62">
        <v>0.5</v>
      </c>
      <c r="D62" t="e">
        <f>IF(OR($A$62&lt;$B$6,$A$62&gt;$B$8),$A$62,#N/A)</f>
        <v>#N/A</v>
      </c>
      <c r="E62" t="e">
        <f>IF(OR(AND($A$62&lt;$B$5,$A$62&gt;=$B$6),AND($A$62&gt;$B$7,$A$62&lt;=$B$8)),$A$62,#N/A)</f>
        <v>#N/A</v>
      </c>
      <c r="F62">
        <f>IF(OR(AND($A$62&lt;$B$2,$A$62&gt;=$B$5),AND($A$62&gt;$B$4,$A$62&lt;=$B$7)),$A$62,"")</f>
        <v>0.11216208918168385</v>
      </c>
      <c r="M62">
        <f>IF(ISBLANK(data!H64),"",data!H64)</f>
        <v>0.11216208918168385</v>
      </c>
      <c r="O62">
        <v>0.5</v>
      </c>
      <c r="P62" t="e">
        <f>IF(OR($M$62&lt;$N$6,$M$62&gt;$N$8),$M$62,#N/A)</f>
        <v>#N/A</v>
      </c>
      <c r="Q62" t="e">
        <f>IF(OR(AND($M$62&lt;$N$5,$M$62&gt;=$N$6),AND($M$62&gt;$N$7,$M$62&lt;=$N$8)),$M$62,#N/A)</f>
        <v>#N/A</v>
      </c>
      <c r="R62">
        <f>IF(OR(AND($M$62&lt;$N$2,$M$62&gt;=$N$5),AND($M$62&gt;$N$4,$M$62&lt;=$N$7)),$M$62,"")</f>
        <v>0.11216208918168385</v>
      </c>
    </row>
    <row r="63" spans="1:18" ht="12.75">
      <c r="A63">
        <f>IF(ISBLANK(data!H65),"",data!H65)</f>
        <v>-0.0671952233710676</v>
      </c>
      <c r="C63">
        <v>0.5</v>
      </c>
      <c r="D63" t="e">
        <f>IF(OR($A$63&lt;$B$6,$A$63&gt;$B$8),$A$63,#N/A)</f>
        <v>#N/A</v>
      </c>
      <c r="E63" t="e">
        <f>IF(OR(AND($A$63&lt;$B$5,$A$63&gt;=$B$6),AND($A$63&gt;$B$7,$A$63&lt;=$B$8)),$A$63,#N/A)</f>
        <v>#N/A</v>
      </c>
      <c r="F63">
        <f>IF(OR(AND($A$63&lt;$B$2,$A$63&gt;=$B$5),AND($A$63&gt;$B$4,$A$63&lt;=$B$7)),$A$63,"")</f>
        <v>-0.0671952233710676</v>
      </c>
      <c r="M63">
        <f>IF(ISBLANK(data!H65),"",data!H65)</f>
        <v>-0.0671952233710676</v>
      </c>
      <c r="O63">
        <v>0.5</v>
      </c>
      <c r="P63" t="e">
        <f>IF(OR($M$63&lt;$N$6,$M$63&gt;$N$8),$M$63,#N/A)</f>
        <v>#N/A</v>
      </c>
      <c r="Q63" t="e">
        <f>IF(OR(AND($M$63&lt;$N$5,$M$63&gt;=$N$6),AND($M$63&gt;$N$7,$M$63&lt;=$N$8)),$M$63,#N/A)</f>
        <v>#N/A</v>
      </c>
      <c r="R63">
        <f>IF(OR(AND($M$63&lt;$N$2,$M$63&gt;=$N$5),AND($M$63&gt;$N$4,$M$63&lt;=$N$7)),$M$63,"")</f>
        <v>-0.0671952233710676</v>
      </c>
    </row>
    <row r="64" spans="1:18" ht="12.75">
      <c r="A64">
        <f>IF(ISBLANK(data!H66),"",data!H66)</f>
        <v>0.000943667366814969</v>
      </c>
      <c r="C64">
        <v>0.5</v>
      </c>
      <c r="D64" t="e">
        <f>IF(OR($A$64&lt;$B$6,$A$64&gt;$B$8),$A$64,#N/A)</f>
        <v>#N/A</v>
      </c>
      <c r="E64" t="e">
        <f>IF(OR(AND($A$64&lt;$B$5,$A$64&gt;=$B$6),AND($A$64&gt;$B$7,$A$64&lt;=$B$8)),$A$64,#N/A)</f>
        <v>#N/A</v>
      </c>
      <c r="F64">
        <f>IF(OR(AND($A$64&lt;$B$2,$A$64&gt;=$B$5),AND($A$64&gt;$B$4,$A$64&lt;=$B$7)),$A$64,"")</f>
      </c>
      <c r="M64">
        <f>IF(ISBLANK(data!H66),"",data!H66)</f>
        <v>0.000943667366814969</v>
      </c>
      <c r="O64">
        <v>0.5</v>
      </c>
      <c r="P64" t="e">
        <f>IF(OR($M$64&lt;$N$6,$M$64&gt;$N$8),$M$64,#N/A)</f>
        <v>#N/A</v>
      </c>
      <c r="Q64" t="e">
        <f>IF(OR(AND($M$64&lt;$N$5,$M$64&gt;=$N$6),AND($M$64&gt;$N$7,$M$64&lt;=$N$8)),$M$64,#N/A)</f>
        <v>#N/A</v>
      </c>
      <c r="R64">
        <f>IF(OR(AND($M$64&lt;$N$2,$M$64&gt;=$N$5),AND($M$64&gt;$N$4,$M$64&lt;=$N$7)),$M$64,"")</f>
      </c>
    </row>
    <row r="65" spans="1:18" ht="12.75">
      <c r="A65">
        <f>IF(ISBLANK(data!H67),"",data!H67)</f>
        <v>-0.017631342652725552</v>
      </c>
      <c r="C65">
        <v>0.5</v>
      </c>
      <c r="D65" t="e">
        <f>IF(OR($A$65&lt;$B$6,$A$65&gt;$B$8),$A$65,#N/A)</f>
        <v>#N/A</v>
      </c>
      <c r="E65" t="e">
        <f>IF(OR(AND($A$65&lt;$B$5,$A$65&gt;=$B$6),AND($A$65&gt;$B$7,$A$65&lt;=$B$8)),$A$65,#N/A)</f>
        <v>#N/A</v>
      </c>
      <c r="F65">
        <f>IF(OR(AND($A$65&lt;$B$2,$A$65&gt;=$B$5),AND($A$65&gt;$B$4,$A$65&lt;=$B$7)),$A$65,"")</f>
      </c>
      <c r="M65">
        <f>IF(ISBLANK(data!H67),"",data!H67)</f>
        <v>-0.017631342652725552</v>
      </c>
      <c r="O65">
        <v>0.5</v>
      </c>
      <c r="P65" t="e">
        <f>IF(OR($M$65&lt;$N$6,$M$65&gt;$N$8),$M$65,#N/A)</f>
        <v>#N/A</v>
      </c>
      <c r="Q65" t="e">
        <f>IF(OR(AND($M$65&lt;$N$5,$M$65&gt;=$N$6),AND($M$65&gt;$N$7,$M$65&lt;=$N$8)),$M$65,#N/A)</f>
        <v>#N/A</v>
      </c>
      <c r="R65">
        <f>IF(OR(AND($M$65&lt;$N$2,$M$65&gt;=$N$5),AND($M$65&gt;$N$4,$M$65&lt;=$N$7)),$M$65,"")</f>
      </c>
    </row>
    <row r="66" spans="1:18" ht="12.75">
      <c r="A66">
        <f>IF(ISBLANK(data!H68),"",data!H68)</f>
        <v>0.0847652666277098</v>
      </c>
      <c r="C66">
        <v>0.5</v>
      </c>
      <c r="D66" t="e">
        <f>IF(OR($A$66&lt;$B$6,$A$66&gt;$B$8),$A$66,#N/A)</f>
        <v>#N/A</v>
      </c>
      <c r="E66" t="e">
        <f>IF(OR(AND($A$66&lt;$B$5,$A$66&gt;=$B$6),AND($A$66&gt;$B$7,$A$66&lt;=$B$8)),$A$66,#N/A)</f>
        <v>#N/A</v>
      </c>
      <c r="F66">
        <f>IF(OR(AND($A$66&lt;$B$2,$A$66&gt;=$B$5),AND($A$66&gt;$B$4,$A$66&lt;=$B$7)),$A$66,"")</f>
      </c>
      <c r="M66">
        <f>IF(ISBLANK(data!H68),"",data!H68)</f>
        <v>0.0847652666277098</v>
      </c>
      <c r="O66">
        <v>0.5</v>
      </c>
      <c r="P66" t="e">
        <f>IF(OR($M$66&lt;$N$6,$M$66&gt;$N$8),$M$66,#N/A)</f>
        <v>#N/A</v>
      </c>
      <c r="Q66" t="e">
        <f>IF(OR(AND($M$66&lt;$N$5,$M$66&gt;=$N$6),AND($M$66&gt;$N$7,$M$66&lt;=$N$8)),$M$66,#N/A)</f>
        <v>#N/A</v>
      </c>
      <c r="R66">
        <f>IF(OR(AND($M$66&lt;$N$2,$M$66&gt;=$N$5),AND($M$66&gt;$N$4,$M$66&lt;=$N$7)),$M$66,"")</f>
      </c>
    </row>
    <row r="67" spans="1:18" ht="12.75">
      <c r="A67">
        <f>IF(ISBLANK(data!H69),"",data!H69)</f>
        <v>-0.09055120369475375</v>
      </c>
      <c r="C67">
        <v>0.5</v>
      </c>
      <c r="D67" t="e">
        <f>IF(OR($A$67&lt;$B$6,$A$67&gt;$B$8),$A$67,#N/A)</f>
        <v>#N/A</v>
      </c>
      <c r="E67" t="e">
        <f>IF(OR(AND($A$67&lt;$B$5,$A$67&gt;=$B$6),AND($A$67&gt;$B$7,$A$67&lt;=$B$8)),$A$67,#N/A)</f>
        <v>#N/A</v>
      </c>
      <c r="F67">
        <f>IF(OR(AND($A$67&lt;$B$2,$A$67&gt;=$B$5),AND($A$67&gt;$B$4,$A$67&lt;=$B$7)),$A$67,"")</f>
        <v>-0.09055120369475375</v>
      </c>
      <c r="M67">
        <f>IF(ISBLANK(data!H69),"",data!H69)</f>
        <v>-0.09055120369475375</v>
      </c>
      <c r="O67">
        <v>0.5</v>
      </c>
      <c r="P67" t="e">
        <f>IF(OR($M$67&lt;$N$6,$M$67&gt;$N$8),$M$67,#N/A)</f>
        <v>#N/A</v>
      </c>
      <c r="Q67" t="e">
        <f>IF(OR(AND($M$67&lt;$N$5,$M$67&gt;=$N$6),AND($M$67&gt;$N$7,$M$67&lt;=$N$8)),$M$67,#N/A)</f>
        <v>#N/A</v>
      </c>
      <c r="R67">
        <f>IF(OR(AND($M$67&lt;$N$2,$M$67&gt;=$N$5),AND($M$67&gt;$N$4,$M$67&lt;=$N$7)),$M$67,"")</f>
        <v>-0.09055120369475375</v>
      </c>
    </row>
    <row r="68" spans="1:18" ht="12.75">
      <c r="A68">
        <f>IF(ISBLANK(data!H70),"",data!H70)</f>
        <v>0.14345606100773026</v>
      </c>
      <c r="C68">
        <v>0.5</v>
      </c>
      <c r="D68" t="e">
        <f>IF(OR($A$68&lt;$B$6,$A$68&gt;$B$8),$A$68,#N/A)</f>
        <v>#N/A</v>
      </c>
      <c r="E68" t="e">
        <f>IF(OR(AND($A$68&lt;$B$5,$A$68&gt;=$B$6),AND($A$68&gt;$B$7,$A$68&lt;=$B$8)),$A$68,#N/A)</f>
        <v>#N/A</v>
      </c>
      <c r="F68">
        <f>IF(OR(AND($A$68&lt;$B$2,$A$68&gt;=$B$5),AND($A$68&gt;$B$4,$A$68&lt;=$B$7)),$A$68,"")</f>
        <v>0.14345606100773026</v>
      </c>
      <c r="M68">
        <f>IF(ISBLANK(data!H70),"",data!H70)</f>
        <v>0.14345606100773026</v>
      </c>
      <c r="O68">
        <v>0.5</v>
      </c>
      <c r="P68" t="e">
        <f>IF(OR($M$68&lt;$N$6,$M$68&gt;$N$8),$M$68,#N/A)</f>
        <v>#N/A</v>
      </c>
      <c r="Q68" t="e">
        <f>IF(OR(AND($M$68&lt;$N$5,$M$68&gt;=$N$6),AND($M$68&gt;$N$7,$M$68&lt;=$N$8)),$M$68,#N/A)</f>
        <v>#N/A</v>
      </c>
      <c r="R68">
        <f>IF(OR(AND($M$68&lt;$N$2,$M$68&gt;=$N$5),AND($M$68&gt;$N$4,$M$68&lt;=$N$7)),$M$68,"")</f>
        <v>0.14345606100773026</v>
      </c>
    </row>
    <row r="69" spans="1:18" ht="12.75">
      <c r="A69">
        <f>IF(ISBLANK(data!H71),"",data!H71)</f>
        <v>0.12764835242423628</v>
      </c>
      <c r="C69">
        <v>0.5</v>
      </c>
      <c r="D69" t="e">
        <f>IF(OR($A$69&lt;$B$6,$A$69&gt;$B$8),$A$69,#N/A)</f>
        <v>#N/A</v>
      </c>
      <c r="E69" t="e">
        <f>IF(OR(AND($A$69&lt;$B$5,$A$69&gt;=$B$6),AND($A$69&gt;$B$7,$A$69&lt;=$B$8)),$A$69,#N/A)</f>
        <v>#N/A</v>
      </c>
      <c r="F69">
        <f>IF(OR(AND($A$69&lt;$B$2,$A$69&gt;=$B$5),AND($A$69&gt;$B$4,$A$69&lt;=$B$7)),$A$69,"")</f>
        <v>0.12764835242423628</v>
      </c>
      <c r="M69">
        <f>IF(ISBLANK(data!H71),"",data!H71)</f>
        <v>0.12764835242423628</v>
      </c>
      <c r="O69">
        <v>0.5</v>
      </c>
      <c r="P69" t="e">
        <f>IF(OR($M$69&lt;$N$6,$M$69&gt;$N$8),$M$69,#N/A)</f>
        <v>#N/A</v>
      </c>
      <c r="Q69" t="e">
        <f>IF(OR(AND($M$69&lt;$N$5,$M$69&gt;=$N$6),AND($M$69&gt;$N$7,$M$69&lt;=$N$8)),$M$69,#N/A)</f>
        <v>#N/A</v>
      </c>
      <c r="R69">
        <f>IF(OR(AND($M$69&lt;$N$2,$M$69&gt;=$N$5),AND($M$69&gt;$N$4,$M$69&lt;=$N$7)),$M$69,"")</f>
        <v>0.12764835242423628</v>
      </c>
    </row>
    <row r="70" spans="1:18" ht="12.75">
      <c r="A70">
        <f>IF(ISBLANK(data!H72),"",data!H72)</f>
        <v>0.05453287902025006</v>
      </c>
      <c r="C70">
        <v>0.5</v>
      </c>
      <c r="D70" t="e">
        <f>IF(OR($A$70&lt;$B$6,$A$70&gt;$B$8),$A$70,#N/A)</f>
        <v>#N/A</v>
      </c>
      <c r="E70" t="e">
        <f>IF(OR(AND($A$70&lt;$B$5,$A$70&gt;=$B$6),AND($A$70&gt;$B$7,$A$70&lt;=$B$8)),$A$70,#N/A)</f>
        <v>#N/A</v>
      </c>
      <c r="F70">
        <f>IF(OR(AND($A$70&lt;$B$2,$A$70&gt;=$B$5),AND($A$70&gt;$B$4,$A$70&lt;=$B$7)),$A$70,"")</f>
      </c>
      <c r="M70">
        <f>IF(ISBLANK(data!H72),"",data!H72)</f>
        <v>0.05453287902025006</v>
      </c>
      <c r="O70">
        <v>0.5</v>
      </c>
      <c r="P70" t="e">
        <f>IF(OR($M$70&lt;$N$6,$M$70&gt;$N$8),$M$70,#N/A)</f>
        <v>#N/A</v>
      </c>
      <c r="Q70" t="e">
        <f>IF(OR(AND($M$70&lt;$N$5,$M$70&gt;=$N$6),AND($M$70&gt;$N$7,$M$70&lt;=$N$8)),$M$70,#N/A)</f>
        <v>#N/A</v>
      </c>
      <c r="R70">
        <f>IF(OR(AND($M$70&lt;$N$2,$M$70&gt;=$N$5),AND($M$70&gt;$N$4,$M$70&lt;=$N$7)),$M$70,"")</f>
      </c>
    </row>
    <row r="71" spans="1:18" ht="12.75">
      <c r="A71">
        <f>IF(ISBLANK(data!H73),"",data!H73)</f>
        <v>0.0069589703243035225</v>
      </c>
      <c r="C71">
        <v>0.5</v>
      </c>
      <c r="D71" t="e">
        <f>IF(OR($A$71&lt;$B$6,$A$71&gt;$B$8),$A$71,#N/A)</f>
        <v>#N/A</v>
      </c>
      <c r="E71" t="e">
        <f>IF(OR(AND($A$71&lt;$B$5,$A$71&gt;=$B$6),AND($A$71&gt;$B$7,$A$71&lt;=$B$8)),$A$71,#N/A)</f>
        <v>#N/A</v>
      </c>
      <c r="F71">
        <f>IF(OR(AND($A$71&lt;$B$2,$A$71&gt;=$B$5),AND($A$71&gt;$B$4,$A$71&lt;=$B$7)),$A$71,"")</f>
      </c>
      <c r="M71">
        <f>IF(ISBLANK(data!H73),"",data!H73)</f>
        <v>0.0069589703243035225</v>
      </c>
      <c r="O71">
        <v>0.5</v>
      </c>
      <c r="P71" t="e">
        <f>IF(OR($M$71&lt;$N$6,$M$71&gt;$N$8),$M$71,#N/A)</f>
        <v>#N/A</v>
      </c>
      <c r="Q71" t="e">
        <f>IF(OR(AND($M$71&lt;$N$5,$M$71&gt;=$N$6),AND($M$71&gt;$N$7,$M$71&lt;=$N$8)),$M$71,#N/A)</f>
        <v>#N/A</v>
      </c>
      <c r="R71">
        <f>IF(OR(AND($M$71&lt;$N$2,$M$71&gt;=$N$5),AND($M$71&gt;$N$4,$M$71&lt;=$N$7)),$M$71,"")</f>
      </c>
    </row>
    <row r="72" spans="1:18" ht="12.75">
      <c r="A72">
        <f>IF(ISBLANK(data!H74),"",data!H74)</f>
        <v>-0.060755837082201544</v>
      </c>
      <c r="C72">
        <v>0.5</v>
      </c>
      <c r="D72" t="e">
        <f>IF(OR($A$72&lt;$B$6,$A$72&gt;$B$8),$A$72,#N/A)</f>
        <v>#N/A</v>
      </c>
      <c r="E72" t="e">
        <f>IF(OR(AND($A$72&lt;$B$5,$A$72&gt;=$B$6),AND($A$72&gt;$B$7,$A$72&lt;=$B$8)),$A$72,#N/A)</f>
        <v>#N/A</v>
      </c>
      <c r="F72">
        <f>IF(OR(AND($A$72&lt;$B$2,$A$72&gt;=$B$5),AND($A$72&gt;$B$4,$A$72&lt;=$B$7)),$A$72,"")</f>
        <v>-0.060755837082201544</v>
      </c>
      <c r="M72">
        <f>IF(ISBLANK(data!H74),"",data!H74)</f>
        <v>-0.060755837082201544</v>
      </c>
      <c r="O72">
        <v>0.5</v>
      </c>
      <c r="P72" t="e">
        <f>IF(OR($M$72&lt;$N$6,$M$72&gt;$N$8),$M$72,#N/A)</f>
        <v>#N/A</v>
      </c>
      <c r="Q72" t="e">
        <f>IF(OR(AND($M$72&lt;$N$5,$M$72&gt;=$N$6),AND($M$72&gt;$N$7,$M$72&lt;=$N$8)),$M$72,#N/A)</f>
        <v>#N/A</v>
      </c>
      <c r="R72">
        <f>IF(OR(AND($M$72&lt;$N$2,$M$72&gt;=$N$5),AND($M$72&gt;$N$4,$M$72&lt;=$N$7)),$M$72,"")</f>
        <v>-0.060755837082201544</v>
      </c>
    </row>
    <row r="73" spans="1:18" ht="12.75">
      <c r="A73">
        <f>IF(ISBLANK(data!H75),"",data!H75)</f>
        <v>0.24515567657779438</v>
      </c>
      <c r="C73">
        <v>0.5</v>
      </c>
      <c r="D73" t="e">
        <f>IF(OR($A$73&lt;$B$6,$A$73&gt;$B$8),$A$73,#N/A)</f>
        <v>#N/A</v>
      </c>
      <c r="E73" t="e">
        <f>IF(OR(AND($A$73&lt;$B$5,$A$73&gt;=$B$6),AND($A$73&gt;$B$7,$A$73&lt;=$B$8)),$A$73,#N/A)</f>
        <v>#N/A</v>
      </c>
      <c r="F73">
        <f>IF(OR(AND($A$73&lt;$B$2,$A$73&gt;=$B$5),AND($A$73&gt;$B$4,$A$73&lt;=$B$7)),$A$73,"")</f>
        <v>0.24515567657779438</v>
      </c>
      <c r="M73">
        <f>IF(ISBLANK(data!H75),"",data!H75)</f>
        <v>0.24515567657779438</v>
      </c>
      <c r="O73">
        <v>0.5</v>
      </c>
      <c r="P73" t="e">
        <f>IF(OR($M$73&lt;$N$6,$M$73&gt;$N$8),$M$73,#N/A)</f>
        <v>#N/A</v>
      </c>
      <c r="Q73" t="e">
        <f>IF(OR(AND($M$73&lt;$N$5,$M$73&gt;=$N$6),AND($M$73&gt;$N$7,$M$73&lt;=$N$8)),$M$73,#N/A)</f>
        <v>#N/A</v>
      </c>
      <c r="R73">
        <f>IF(OR(AND($M$73&lt;$N$2,$M$73&gt;=$N$5),AND($M$73&gt;$N$4,$M$73&lt;=$N$7)),$M$73,"")</f>
        <v>0.24515567657779438</v>
      </c>
    </row>
    <row r="74" spans="1:18" ht="12.75">
      <c r="A74">
        <f>IF(ISBLANK(data!H76),"",data!H76)</f>
        <v>0.01431549700438907</v>
      </c>
      <c r="C74">
        <v>0.5</v>
      </c>
      <c r="D74" t="e">
        <f>IF(OR($A$74&lt;$B$6,$A$74&gt;$B$8),$A$74,#N/A)</f>
        <v>#N/A</v>
      </c>
      <c r="E74" t="e">
        <f>IF(OR(AND($A$74&lt;$B$5,$A$74&gt;=$B$6),AND($A$74&gt;$B$7,$A$74&lt;=$B$8)),$A$74,#N/A)</f>
        <v>#N/A</v>
      </c>
      <c r="F74">
        <f>IF(OR(AND($A$74&lt;$B$2,$A$74&gt;=$B$5),AND($A$74&gt;$B$4,$A$74&lt;=$B$7)),$A$74,"")</f>
      </c>
      <c r="M74">
        <f>IF(ISBLANK(data!H76),"",data!H76)</f>
        <v>0.01431549700438907</v>
      </c>
      <c r="O74">
        <v>0.5</v>
      </c>
      <c r="P74" t="e">
        <f>IF(OR($M$74&lt;$N$6,$M$74&gt;$N$8),$M$74,#N/A)</f>
        <v>#N/A</v>
      </c>
      <c r="Q74" t="e">
        <f>IF(OR(AND($M$74&lt;$N$5,$M$74&gt;=$N$6),AND($M$74&gt;$N$7,$M$74&lt;=$N$8)),$M$74,#N/A)</f>
        <v>#N/A</v>
      </c>
      <c r="R74">
        <f>IF(OR(AND($M$74&lt;$N$2,$M$74&gt;=$N$5),AND($M$74&gt;$N$4,$M$74&lt;=$N$7)),$M$74,"")</f>
      </c>
    </row>
    <row r="75" spans="1:18" ht="12.75">
      <c r="A75">
        <f>IF(ISBLANK(data!H77),"",data!H77)</f>
        <v>-0.13621495197884495</v>
      </c>
      <c r="C75">
        <v>0.5</v>
      </c>
      <c r="D75" t="e">
        <f>IF(OR($A$75&lt;$B$6,$A$75&gt;$B$8),$A$75,#N/A)</f>
        <v>#N/A</v>
      </c>
      <c r="E75" t="e">
        <f>IF(OR(AND($A$75&lt;$B$5,$A$75&gt;=$B$6),AND($A$75&gt;$B$7,$A$75&lt;=$B$8)),$A$75,#N/A)</f>
        <v>#N/A</v>
      </c>
      <c r="F75">
        <f>IF(OR(AND($A$75&lt;$B$2,$A$75&gt;=$B$5),AND($A$75&gt;$B$4,$A$75&lt;=$B$7)),$A$75,"")</f>
        <v>-0.13621495197884495</v>
      </c>
      <c r="M75">
        <f>IF(ISBLANK(data!H77),"",data!H77)</f>
        <v>-0.13621495197884495</v>
      </c>
      <c r="O75">
        <v>0.5</v>
      </c>
      <c r="P75" t="e">
        <f>IF(OR($M$75&lt;$N$6,$M$75&gt;$N$8),$M$75,#N/A)</f>
        <v>#N/A</v>
      </c>
      <c r="Q75" t="e">
        <f>IF(OR(AND($M$75&lt;$N$5,$M$75&gt;=$N$6),AND($M$75&gt;$N$7,$M$75&lt;=$N$8)),$M$75,#N/A)</f>
        <v>#N/A</v>
      </c>
      <c r="R75">
        <f>IF(OR(AND($M$75&lt;$N$2,$M$75&gt;=$N$5),AND($M$75&gt;$N$4,$M$75&lt;=$N$7)),$M$75,"")</f>
        <v>-0.13621495197884495</v>
      </c>
    </row>
    <row r="76" spans="1:18" ht="12.75">
      <c r="A76">
        <f>IF(ISBLANK(data!H78),"",data!H78)</f>
        <v>0.13734949755508863</v>
      </c>
      <c r="C76">
        <v>0.5</v>
      </c>
      <c r="D76" t="e">
        <f>IF(OR($A$76&lt;$B$6,$A$76&gt;$B$8),$A$76,#N/A)</f>
        <v>#N/A</v>
      </c>
      <c r="E76" t="e">
        <f>IF(OR(AND($A$76&lt;$B$5,$A$76&gt;=$B$6),AND($A$76&gt;$B$7,$A$76&lt;=$B$8)),$A$76,#N/A)</f>
        <v>#N/A</v>
      </c>
      <c r="F76">
        <f>IF(OR(AND($A$76&lt;$B$2,$A$76&gt;=$B$5),AND($A$76&gt;$B$4,$A$76&lt;=$B$7)),$A$76,"")</f>
        <v>0.13734949755508863</v>
      </c>
      <c r="M76">
        <f>IF(ISBLANK(data!H78),"",data!H78)</f>
        <v>0.13734949755508863</v>
      </c>
      <c r="O76">
        <v>0.5</v>
      </c>
      <c r="P76" t="e">
        <f>IF(OR($M$76&lt;$N$6,$M$76&gt;$N$8),$M$76,#N/A)</f>
        <v>#N/A</v>
      </c>
      <c r="Q76" t="e">
        <f>IF(OR(AND($M$76&lt;$N$5,$M$76&gt;=$N$6),AND($M$76&gt;$N$7,$M$76&lt;=$N$8)),$M$76,#N/A)</f>
        <v>#N/A</v>
      </c>
      <c r="R76">
        <f>IF(OR(AND($M$76&lt;$N$2,$M$76&gt;=$N$5),AND($M$76&gt;$N$4,$M$76&lt;=$N$7)),$M$76,"")</f>
        <v>0.13734949755508863</v>
      </c>
    </row>
    <row r="77" spans="1:18" ht="12.75">
      <c r="A77">
        <f>IF(ISBLANK(data!H79),"",data!H79)</f>
        <v>-0.0387883247091202</v>
      </c>
      <c r="C77">
        <v>0.5</v>
      </c>
      <c r="D77" t="e">
        <f>IF(OR($A$77&lt;$B$6,$A$77&gt;$B$8),$A$77,#N/A)</f>
        <v>#N/A</v>
      </c>
      <c r="E77" t="e">
        <f>IF(OR(AND($A$77&lt;$B$5,$A$77&gt;=$B$6),AND($A$77&gt;$B$7,$A$77&lt;=$B$8)),$A$77,#N/A)</f>
        <v>#N/A</v>
      </c>
      <c r="F77">
        <f>IF(OR(AND($A$77&lt;$B$2,$A$77&gt;=$B$5),AND($A$77&gt;$B$4,$A$77&lt;=$B$7)),$A$77,"")</f>
        <v>-0.0387883247091202</v>
      </c>
      <c r="M77">
        <f>IF(ISBLANK(data!H79),"",data!H79)</f>
        <v>-0.0387883247091202</v>
      </c>
      <c r="O77">
        <v>0.5</v>
      </c>
      <c r="P77" t="e">
        <f>IF(OR($M$77&lt;$N$6,$M$77&gt;$N$8),$M$77,#N/A)</f>
        <v>#N/A</v>
      </c>
      <c r="Q77" t="e">
        <f>IF(OR(AND($M$77&lt;$N$5,$M$77&gt;=$N$6),AND($M$77&gt;$N$7,$M$77&lt;=$N$8)),$M$77,#N/A)</f>
        <v>#N/A</v>
      </c>
      <c r="R77">
        <f>IF(OR(AND($M$77&lt;$N$2,$M$77&gt;=$N$5),AND($M$77&gt;$N$4,$M$77&lt;=$N$7)),$M$77,"")</f>
        <v>-0.0387883247091202</v>
      </c>
    </row>
    <row r="78" spans="1:18" ht="12.75">
      <c r="A78">
        <f>IF(ISBLANK(data!H80),"",data!H80)</f>
        <v>0.1417618917610381</v>
      </c>
      <c r="C78">
        <v>0.5</v>
      </c>
      <c r="D78" t="e">
        <f>IF(OR($A$78&lt;$B$6,$A$78&gt;$B$8),$A$78,#N/A)</f>
        <v>#N/A</v>
      </c>
      <c r="E78" t="e">
        <f>IF(OR(AND($A$78&lt;$B$5,$A$78&gt;=$B$6),AND($A$78&gt;$B$7,$A$78&lt;=$B$8)),$A$78,#N/A)</f>
        <v>#N/A</v>
      </c>
      <c r="F78">
        <f>IF(OR(AND($A$78&lt;$B$2,$A$78&gt;=$B$5),AND($A$78&gt;$B$4,$A$78&lt;=$B$7)),$A$78,"")</f>
        <v>0.1417618917610381</v>
      </c>
      <c r="M78">
        <f>IF(ISBLANK(data!H80),"",data!H80)</f>
        <v>0.1417618917610381</v>
      </c>
      <c r="O78">
        <v>0.5</v>
      </c>
      <c r="P78" t="e">
        <f>IF(OR($M$78&lt;$N$6,$M$78&gt;$N$8),$M$78,#N/A)</f>
        <v>#N/A</v>
      </c>
      <c r="Q78" t="e">
        <f>IF(OR(AND($M$78&lt;$N$5,$M$78&gt;=$N$6),AND($M$78&gt;$N$7,$M$78&lt;=$N$8)),$M$78,#N/A)</f>
        <v>#N/A</v>
      </c>
      <c r="R78">
        <f>IF(OR(AND($M$78&lt;$N$2,$M$78&gt;=$N$5),AND($M$78&gt;$N$4,$M$78&lt;=$N$7)),$M$78,"")</f>
        <v>0.1417618917610381</v>
      </c>
    </row>
    <row r="79" spans="1:18" ht="12.75">
      <c r="A79">
        <f>IF(ISBLANK(data!H81),"",data!H81)</f>
        <v>0.1282028770048122</v>
      </c>
      <c r="C79">
        <v>0.5</v>
      </c>
      <c r="D79" t="e">
        <f>IF(OR($A$79&lt;$B$6,$A$79&gt;$B$8),$A$79,#N/A)</f>
        <v>#N/A</v>
      </c>
      <c r="E79" t="e">
        <f>IF(OR(AND($A$79&lt;$B$5,$A$79&gt;=$B$6),AND($A$79&gt;$B$7,$A$79&lt;=$B$8)),$A$79,#N/A)</f>
        <v>#N/A</v>
      </c>
      <c r="F79">
        <f>IF(OR(AND($A$79&lt;$B$2,$A$79&gt;=$B$5),AND($A$79&gt;$B$4,$A$79&lt;=$B$7)),$A$79,"")</f>
        <v>0.1282028770048122</v>
      </c>
      <c r="M79">
        <f>IF(ISBLANK(data!H81),"",data!H81)</f>
        <v>0.1282028770048122</v>
      </c>
      <c r="O79">
        <v>0.5</v>
      </c>
      <c r="P79" t="e">
        <f>IF(OR($M$79&lt;$N$6,$M$79&gt;$N$8),$M$79,#N/A)</f>
        <v>#N/A</v>
      </c>
      <c r="Q79" t="e">
        <f>IF(OR(AND($M$79&lt;$N$5,$M$79&gt;=$N$6),AND($M$79&gt;$N$7,$M$79&lt;=$N$8)),$M$79,#N/A)</f>
        <v>#N/A</v>
      </c>
      <c r="R79">
        <f>IF(OR(AND($M$79&lt;$N$2,$M$79&gt;=$N$5),AND($M$79&gt;$N$4,$M$79&lt;=$N$7)),$M$79,"")</f>
        <v>0.1282028770048122</v>
      </c>
    </row>
    <row r="80" spans="1:18" ht="12.75">
      <c r="A80">
        <f>IF(ISBLANK(data!H82),"",data!H82)</f>
        <v>0.23256205218544523</v>
      </c>
      <c r="C80">
        <v>0.5</v>
      </c>
      <c r="D80" t="e">
        <f>IF(OR($A$80&lt;$B$6,$A$80&gt;$B$8),$A$80,#N/A)</f>
        <v>#N/A</v>
      </c>
      <c r="E80" t="e">
        <f>IF(OR(AND($A$80&lt;$B$5,$A$80&gt;=$B$6),AND($A$80&gt;$B$7,$A$80&lt;=$B$8)),$A$80,#N/A)</f>
        <v>#N/A</v>
      </c>
      <c r="F80">
        <f>IF(OR(AND($A$80&lt;$B$2,$A$80&gt;=$B$5),AND($A$80&gt;$B$4,$A$80&lt;=$B$7)),$A$80,"")</f>
        <v>0.23256205218544523</v>
      </c>
      <c r="M80">
        <f>IF(ISBLANK(data!H82),"",data!H82)</f>
        <v>0.23256205218544523</v>
      </c>
      <c r="O80">
        <v>0.5</v>
      </c>
      <c r="P80" t="e">
        <f>IF(OR($M$80&lt;$N$6,$M$80&gt;$N$8),$M$80,#N/A)</f>
        <v>#N/A</v>
      </c>
      <c r="Q80" t="e">
        <f>IF(OR(AND($M$80&lt;$N$5,$M$80&gt;=$N$6),AND($M$80&gt;$N$7,$M$80&lt;=$N$8)),$M$80,#N/A)</f>
        <v>#N/A</v>
      </c>
      <c r="R80">
        <f>IF(OR(AND($M$80&lt;$N$2,$M$80&gt;=$N$5),AND($M$80&gt;$N$4,$M$80&lt;=$N$7)),$M$80,"")</f>
        <v>0.23256205218544523</v>
      </c>
    </row>
    <row r="81" spans="1:18" ht="12.75">
      <c r="A81">
        <f>IF(ISBLANK(data!H83),"",data!H83)</f>
        <v>-0.1533176935233664</v>
      </c>
      <c r="C81">
        <v>0.5</v>
      </c>
      <c r="D81" t="e">
        <f>IF(OR($A$81&lt;$B$6,$A$81&gt;$B$8),$A$81,#N/A)</f>
        <v>#N/A</v>
      </c>
      <c r="E81" t="e">
        <f>IF(OR(AND($A$81&lt;$B$5,$A$81&gt;=$B$6),AND($A$81&gt;$B$7,$A$81&lt;=$B$8)),$A$81,#N/A)</f>
        <v>#N/A</v>
      </c>
      <c r="F81">
        <f>IF(OR(AND($A$81&lt;$B$2,$A$81&gt;=$B$5),AND($A$81&gt;$B$4,$A$81&lt;=$B$7)),$A$81,"")</f>
        <v>-0.1533176935233664</v>
      </c>
      <c r="M81">
        <f>IF(ISBLANK(data!H83),"",data!H83)</f>
        <v>-0.1533176935233664</v>
      </c>
      <c r="O81">
        <v>0.5</v>
      </c>
      <c r="P81" t="e">
        <f>IF(OR($M$81&lt;$N$6,$M$81&gt;$N$8),$M$81,#N/A)</f>
        <v>#N/A</v>
      </c>
      <c r="Q81" t="e">
        <f>IF(OR(AND($M$81&lt;$N$5,$M$81&gt;=$N$6),AND($M$81&gt;$N$7,$M$81&lt;=$N$8)),$M$81,#N/A)</f>
        <v>#N/A</v>
      </c>
      <c r="R81">
        <f>IF(OR(AND($M$81&lt;$N$2,$M$81&gt;=$N$5),AND($M$81&gt;$N$4,$M$81&lt;=$N$7)),$M$81,"")</f>
        <v>-0.1533176935233664</v>
      </c>
    </row>
    <row r="82" spans="1:18" ht="12.75">
      <c r="A82">
        <f>IF(ISBLANK(data!H84),"",data!H84)</f>
        <v>0.1773131990795821</v>
      </c>
      <c r="C82">
        <v>0.5</v>
      </c>
      <c r="D82" t="e">
        <f>IF(OR($A$82&lt;$B$6,$A$82&gt;$B$8),$A$82,#N/A)</f>
        <v>#N/A</v>
      </c>
      <c r="E82" t="e">
        <f>IF(OR(AND($A$82&lt;$B$5,$A$82&gt;=$B$6),AND($A$82&gt;$B$7,$A$82&lt;=$B$8)),$A$82,#N/A)</f>
        <v>#N/A</v>
      </c>
      <c r="F82">
        <f>IF(OR(AND($A$82&lt;$B$2,$A$82&gt;=$B$5),AND($A$82&gt;$B$4,$A$82&lt;=$B$7)),$A$82,"")</f>
        <v>0.1773131990795821</v>
      </c>
      <c r="M82">
        <f>IF(ISBLANK(data!H84),"",data!H84)</f>
        <v>0.1773131990795821</v>
      </c>
      <c r="O82">
        <v>0.5</v>
      </c>
      <c r="P82" t="e">
        <f>IF(OR($M$82&lt;$N$6,$M$82&gt;$N$8),$M$82,#N/A)</f>
        <v>#N/A</v>
      </c>
      <c r="Q82" t="e">
        <f>IF(OR(AND($M$82&lt;$N$5,$M$82&gt;=$N$6),AND($M$82&gt;$N$7,$M$82&lt;=$N$8)),$M$82,#N/A)</f>
        <v>#N/A</v>
      </c>
      <c r="R82">
        <f>IF(OR(AND($M$82&lt;$N$2,$M$82&gt;=$N$5),AND($M$82&gt;$N$4,$M$82&lt;=$N$7)),$M$82,"")</f>
        <v>0.1773131990795821</v>
      </c>
    </row>
    <row r="83" spans="1:18" ht="12.75">
      <c r="A83">
        <f>IF(ISBLANK(data!H85),"",data!H85)</f>
        <v>-0.09733454264706044</v>
      </c>
      <c r="C83">
        <v>0.5</v>
      </c>
      <c r="D83" t="e">
        <f>IF(OR($A$83&lt;$B$6,$A$83&gt;$B$8),$A$83,#N/A)</f>
        <v>#N/A</v>
      </c>
      <c r="E83" t="e">
        <f>IF(OR(AND($A$83&lt;$B$5,$A$83&gt;=$B$6),AND($A$83&gt;$B$7,$A$83&lt;=$B$8)),$A$83,#N/A)</f>
        <v>#N/A</v>
      </c>
      <c r="F83">
        <f>IF(OR(AND($A$83&lt;$B$2,$A$83&gt;=$B$5),AND($A$83&gt;$B$4,$A$83&lt;=$B$7)),$A$83,"")</f>
        <v>-0.09733454264706044</v>
      </c>
      <c r="M83">
        <f>IF(ISBLANK(data!H85),"",data!H85)</f>
        <v>-0.09733454264706044</v>
      </c>
      <c r="O83">
        <v>0.5</v>
      </c>
      <c r="P83" t="e">
        <f>IF(OR($M$83&lt;$N$6,$M$83&gt;$N$8),$M$83,#N/A)</f>
        <v>#N/A</v>
      </c>
      <c r="Q83" t="e">
        <f>IF(OR(AND($M$83&lt;$N$5,$M$83&gt;=$N$6),AND($M$83&gt;$N$7,$M$83&lt;=$N$8)),$M$83,#N/A)</f>
        <v>#N/A</v>
      </c>
      <c r="R83">
        <f>IF(OR(AND($M$83&lt;$N$2,$M$83&gt;=$N$5),AND($M$83&gt;$N$4,$M$83&lt;=$N$7)),$M$83,"")</f>
        <v>-0.09733454264706044</v>
      </c>
    </row>
    <row r="84" spans="1:18" ht="12.75">
      <c r="A84">
        <f>IF(ISBLANK(data!H86),"",data!H86)</f>
        <v>-0.007716087665862747</v>
      </c>
      <c r="C84">
        <v>0.5</v>
      </c>
      <c r="D84" t="e">
        <f>IF(OR($A$84&lt;$B$6,$A$84&gt;$B$8),$A$84,#N/A)</f>
        <v>#N/A</v>
      </c>
      <c r="E84" t="e">
        <f>IF(OR(AND($A$84&lt;$B$5,$A$84&gt;=$B$6),AND($A$84&gt;$B$7,$A$84&lt;=$B$8)),$A$84,#N/A)</f>
        <v>#N/A</v>
      </c>
      <c r="F84">
        <f>IF(OR(AND($A$84&lt;$B$2,$A$84&gt;=$B$5),AND($A$84&gt;$B$4,$A$84&lt;=$B$7)),$A$84,"")</f>
      </c>
      <c r="M84">
        <f>IF(ISBLANK(data!H86),"",data!H86)</f>
        <v>-0.007716087665862747</v>
      </c>
      <c r="O84">
        <v>0.5</v>
      </c>
      <c r="P84" t="e">
        <f>IF(OR($M$84&lt;$N$6,$M$84&gt;$N$8),$M$84,#N/A)</f>
        <v>#N/A</v>
      </c>
      <c r="Q84" t="e">
        <f>IF(OR(AND($M$84&lt;$N$5,$M$84&gt;=$N$6),AND($M$84&gt;$N$7,$M$84&lt;=$N$8)),$M$84,#N/A)</f>
        <v>#N/A</v>
      </c>
      <c r="R84">
        <f>IF(OR(AND($M$84&lt;$N$2,$M$84&gt;=$N$5),AND($M$84&gt;$N$4,$M$84&lt;=$N$7)),$M$84,"")</f>
      </c>
    </row>
    <row r="85" spans="1:18" ht="12.75">
      <c r="A85">
        <f>IF(ISBLANK(data!H87),"",data!H87)</f>
        <v>0.11130716792722838</v>
      </c>
      <c r="C85">
        <v>0.5</v>
      </c>
      <c r="D85" t="e">
        <f>IF(OR($A$85&lt;$B$6,$A$85&gt;$B$8),$A$85,#N/A)</f>
        <v>#N/A</v>
      </c>
      <c r="E85" t="e">
        <f>IF(OR(AND($A$85&lt;$B$5,$A$85&gt;=$B$6),AND($A$85&gt;$B$7,$A$85&lt;=$B$8)),$A$85,#N/A)</f>
        <v>#N/A</v>
      </c>
      <c r="F85">
        <f>IF(OR(AND($A$85&lt;$B$2,$A$85&gt;=$B$5),AND($A$85&gt;$B$4,$A$85&lt;=$B$7)),$A$85,"")</f>
        <v>0.11130716792722838</v>
      </c>
      <c r="M85">
        <f>IF(ISBLANK(data!H87),"",data!H87)</f>
        <v>0.11130716792722838</v>
      </c>
      <c r="O85">
        <v>0.5</v>
      </c>
      <c r="P85" t="e">
        <f>IF(OR($M$85&lt;$N$6,$M$85&gt;$N$8),$M$85,#N/A)</f>
        <v>#N/A</v>
      </c>
      <c r="Q85" t="e">
        <f>IF(OR(AND($M$85&lt;$N$5,$M$85&gt;=$N$6),AND($M$85&gt;$N$7,$M$85&lt;=$N$8)),$M$85,#N/A)</f>
        <v>#N/A</v>
      </c>
      <c r="R85">
        <f>IF(OR(AND($M$85&lt;$N$2,$M$85&gt;=$N$5),AND($M$85&gt;$N$4,$M$85&lt;=$N$7)),$M$85,"")</f>
        <v>0.11130716792722838</v>
      </c>
    </row>
    <row r="86" spans="1:18" ht="12.75">
      <c r="A86">
        <f>IF(ISBLANK(data!H88),"",data!H88)</f>
        <v>-0.04972615300589979</v>
      </c>
      <c r="C86">
        <v>0.5</v>
      </c>
      <c r="D86" t="e">
        <f>IF(OR($A$86&lt;$B$6,$A$86&gt;$B$8),$A$86,#N/A)</f>
        <v>#N/A</v>
      </c>
      <c r="E86" t="e">
        <f>IF(OR(AND($A$86&lt;$B$5,$A$86&gt;=$B$6),AND($A$86&gt;$B$7,$A$86&lt;=$B$8)),$A$86,#N/A)</f>
        <v>#N/A</v>
      </c>
      <c r="F86">
        <f>IF(OR(AND($A$86&lt;$B$2,$A$86&gt;=$B$5),AND($A$86&gt;$B$4,$A$86&lt;=$B$7)),$A$86,"")</f>
        <v>-0.04972615300589979</v>
      </c>
      <c r="M86">
        <f>IF(ISBLANK(data!H88),"",data!H88)</f>
        <v>-0.04972615300589979</v>
      </c>
      <c r="O86">
        <v>0.5</v>
      </c>
      <c r="P86" t="e">
        <f>IF(OR($M$86&lt;$N$6,$M$86&gt;$N$8),$M$86,#N/A)</f>
        <v>#N/A</v>
      </c>
      <c r="Q86" t="e">
        <f>IF(OR(AND($M$86&lt;$N$5,$M$86&gt;=$N$6),AND($M$86&gt;$N$7,$M$86&lt;=$N$8)),$M$86,#N/A)</f>
        <v>#N/A</v>
      </c>
      <c r="R86">
        <f>IF(OR(AND($M$86&lt;$N$2,$M$86&gt;=$N$5),AND($M$86&gt;$N$4,$M$86&lt;=$N$7)),$M$86,"")</f>
        <v>-0.04972615300589979</v>
      </c>
    </row>
    <row r="87" spans="1:18" ht="12.75">
      <c r="A87">
        <f>IF(ISBLANK(data!H89),"",data!H89)</f>
        <v>0.07571940849982771</v>
      </c>
      <c r="C87">
        <v>0.5</v>
      </c>
      <c r="D87" t="e">
        <f>IF(OR($A$87&lt;$B$6,$A$87&gt;$B$8),$A$87,#N/A)</f>
        <v>#N/A</v>
      </c>
      <c r="E87" t="e">
        <f>IF(OR(AND($A$87&lt;$B$5,$A$87&gt;=$B$6),AND($A$87&gt;$B$7,$A$87&lt;=$B$8)),$A$87,#N/A)</f>
        <v>#N/A</v>
      </c>
      <c r="F87">
        <f>IF(OR(AND($A$87&lt;$B$2,$A$87&gt;=$B$5),AND($A$87&gt;$B$4,$A$87&lt;=$B$7)),$A$87,"")</f>
      </c>
      <c r="M87">
        <f>IF(ISBLANK(data!H89),"",data!H89)</f>
        <v>0.07571940849982771</v>
      </c>
      <c r="O87">
        <v>0.5</v>
      </c>
      <c r="P87" t="e">
        <f>IF(OR($M$87&lt;$N$6,$M$87&gt;$N$8),$M$87,#N/A)</f>
        <v>#N/A</v>
      </c>
      <c r="Q87" t="e">
        <f>IF(OR(AND($M$87&lt;$N$5,$M$87&gt;=$N$6),AND($M$87&gt;$N$7,$M$87&lt;=$N$8)),$M$87,#N/A)</f>
        <v>#N/A</v>
      </c>
      <c r="R87">
        <f>IF(OR(AND($M$87&lt;$N$2,$M$87&gt;=$N$5),AND($M$87&gt;$N$4,$M$87&lt;=$N$7)),$M$87,"")</f>
      </c>
    </row>
    <row r="88" spans="1:18" ht="12.75">
      <c r="A88">
        <f>IF(ISBLANK(data!H90),"",data!H90)</f>
        <v>-0.021843871947116438</v>
      </c>
      <c r="C88">
        <v>0.5</v>
      </c>
      <c r="D88" t="e">
        <f>IF(OR($A$88&lt;$B$6,$A$88&gt;$B$8),$A$88,#N/A)</f>
        <v>#N/A</v>
      </c>
      <c r="E88" t="e">
        <f>IF(OR(AND($A$88&lt;$B$5,$A$88&gt;=$B$6),AND($A$88&gt;$B$7,$A$88&lt;=$B$8)),$A$88,#N/A)</f>
        <v>#N/A</v>
      </c>
      <c r="F88">
        <f>IF(OR(AND($A$88&lt;$B$2,$A$88&gt;=$B$5),AND($A$88&gt;$B$4,$A$88&lt;=$B$7)),$A$88,"")</f>
      </c>
      <c r="M88">
        <f>IF(ISBLANK(data!H90),"",data!H90)</f>
        <v>-0.021843871947116438</v>
      </c>
      <c r="O88">
        <v>0.5</v>
      </c>
      <c r="P88" t="e">
        <f>IF(OR($M$88&lt;$N$6,$M$88&gt;$N$8),$M$88,#N/A)</f>
        <v>#N/A</v>
      </c>
      <c r="Q88" t="e">
        <f>IF(OR(AND($M$88&lt;$N$5,$M$88&gt;=$N$6),AND($M$88&gt;$N$7,$M$88&lt;=$N$8)),$M$88,#N/A)</f>
        <v>#N/A</v>
      </c>
      <c r="R88">
        <f>IF(OR(AND($M$88&lt;$N$2,$M$88&gt;=$N$5),AND($M$88&gt;$N$4,$M$88&lt;=$N$7)),$M$88,"")</f>
      </c>
    </row>
    <row r="89" spans="1:18" ht="12.75">
      <c r="A89">
        <f>IF(ISBLANK(data!H91),"",data!H91)</f>
        <v>0.02184387194711647</v>
      </c>
      <c r="C89">
        <v>0.5</v>
      </c>
      <c r="D89" t="e">
        <f>IF(OR($A$89&lt;$B$6,$A$89&gt;$B$8),$A$89,#N/A)</f>
        <v>#N/A</v>
      </c>
      <c r="E89" t="e">
        <f>IF(OR(AND($A$89&lt;$B$5,$A$89&gt;=$B$6),AND($A$89&gt;$B$7,$A$89&lt;=$B$8)),$A$89,#N/A)</f>
        <v>#N/A</v>
      </c>
      <c r="F89">
        <f>IF(OR(AND($A$89&lt;$B$2,$A$89&gt;=$B$5),AND($A$89&gt;$B$4,$A$89&lt;=$B$7)),$A$89,"")</f>
      </c>
      <c r="M89">
        <f>IF(ISBLANK(data!H91),"",data!H91)</f>
        <v>0.02184387194711647</v>
      </c>
      <c r="O89">
        <v>0.5</v>
      </c>
      <c r="P89" t="e">
        <f>IF(OR($M$89&lt;$N$6,$M$89&gt;$N$8),$M$89,#N/A)</f>
        <v>#N/A</v>
      </c>
      <c r="Q89" t="e">
        <f>IF(OR(AND($M$89&lt;$N$5,$M$89&gt;=$N$6),AND($M$89&gt;$N$7,$M$89&lt;=$N$8)),$M$89,#N/A)</f>
        <v>#N/A</v>
      </c>
      <c r="R89">
        <f>IF(OR(AND($M$89&lt;$N$2,$M$89&gt;=$N$5),AND($M$89&gt;$N$4,$M$89&lt;=$N$7)),$M$89,"")</f>
      </c>
    </row>
    <row r="90" spans="1:18" ht="12.75">
      <c r="A90">
        <f>IF(ISBLANK(data!H92),"",data!H92)</f>
        <v>-0.01650933366081909</v>
      </c>
      <c r="C90">
        <v>0.5</v>
      </c>
      <c r="D90" t="e">
        <f>IF(OR($A$90&lt;$B$6,$A$90&gt;$B$8),$A$90,#N/A)</f>
        <v>#N/A</v>
      </c>
      <c r="E90" t="e">
        <f>IF(OR(AND($A$90&lt;$B$5,$A$90&gt;=$B$6),AND($A$90&gt;$B$7,$A$90&lt;=$B$8)),$A$90,#N/A)</f>
        <v>#N/A</v>
      </c>
      <c r="F90">
        <f>IF(OR(AND($A$90&lt;$B$2,$A$90&gt;=$B$5),AND($A$90&gt;$B$4,$A$90&lt;=$B$7)),$A$90,"")</f>
      </c>
      <c r="M90">
        <f>IF(ISBLANK(data!H92),"",data!H92)</f>
        <v>-0.01650933366081909</v>
      </c>
      <c r="O90">
        <v>0.5</v>
      </c>
      <c r="P90" t="e">
        <f>IF(OR($M$90&lt;$N$6,$M$90&gt;$N$8),$M$90,#N/A)</f>
        <v>#N/A</v>
      </c>
      <c r="Q90" t="e">
        <f>IF(OR(AND($M$90&lt;$N$5,$M$90&gt;=$N$6),AND($M$90&gt;$N$7,$M$90&lt;=$N$8)),$M$90,#N/A)</f>
        <v>#N/A</v>
      </c>
      <c r="R90">
        <f>IF(OR(AND($M$90&lt;$N$2,$M$90&gt;=$N$5),AND($M$90&gt;$N$4,$M$90&lt;=$N$7)),$M$90,"")</f>
      </c>
    </row>
    <row r="91" spans="1:18" ht="12.75">
      <c r="A91">
        <f>IF(ISBLANK(data!H93),"",data!H93)</f>
        <v>0.2486601381818082</v>
      </c>
      <c r="C91">
        <v>0.5</v>
      </c>
      <c r="D91" t="e">
        <f>IF(OR($A$91&lt;$B$6,$A$91&gt;$B$8),$A$91,#N/A)</f>
        <v>#N/A</v>
      </c>
      <c r="E91" t="e">
        <f>IF(OR(AND($A$91&lt;$B$5,$A$91&gt;=$B$6),AND($A$91&gt;$B$7,$A$91&lt;=$B$8)),$A$91,#N/A)</f>
        <v>#N/A</v>
      </c>
      <c r="F91">
        <f>IF(OR(AND($A$91&lt;$B$2,$A$91&gt;=$B$5),AND($A$91&gt;$B$4,$A$91&lt;=$B$7)),$A$91,"")</f>
        <v>0.2486601381818082</v>
      </c>
      <c r="M91">
        <f>IF(ISBLANK(data!H93),"",data!H93)</f>
        <v>0.2486601381818082</v>
      </c>
      <c r="O91">
        <v>0.5</v>
      </c>
      <c r="P91" t="e">
        <f>IF(OR($M$91&lt;$N$6,$M$91&gt;$N$8),$M$91,#N/A)</f>
        <v>#N/A</v>
      </c>
      <c r="Q91" t="e">
        <f>IF(OR(AND($M$91&lt;$N$5,$M$91&gt;=$N$6),AND($M$91&gt;$N$7,$M$91&lt;=$N$8)),$M$91,#N/A)</f>
        <v>#N/A</v>
      </c>
      <c r="R91">
        <f>IF(OR(AND($M$91&lt;$N$2,$M$91&gt;=$N$5),AND($M$91&gt;$N$4,$M$91&lt;=$N$7)),$M$91,"")</f>
        <v>0.2486601381818082</v>
      </c>
    </row>
    <row r="92" spans="1:18" ht="12.75">
      <c r="A92">
        <f>IF(ISBLANK(data!H94),"",data!H94)</f>
        <v>-0.17634374223803953</v>
      </c>
      <c r="C92">
        <v>0.5</v>
      </c>
      <c r="D92" t="e">
        <f>IF(OR($A$92&lt;$B$6,$A$92&gt;$B$8),$A$92,#N/A)</f>
        <v>#N/A</v>
      </c>
      <c r="E92" t="e">
        <f>IF(OR(AND($A$92&lt;$B$5,$A$92&gt;=$B$6),AND($A$92&gt;$B$7,$A$92&lt;=$B$8)),$A$92,#N/A)</f>
        <v>#N/A</v>
      </c>
      <c r="F92">
        <f>IF(OR(AND($A$92&lt;$B$2,$A$92&gt;=$B$5),AND($A$92&gt;$B$4,$A$92&lt;=$B$7)),$A$92,"")</f>
        <v>-0.17634374223803953</v>
      </c>
      <c r="M92">
        <f>IF(ISBLANK(data!H94),"",data!H94)</f>
        <v>-0.17634374223803953</v>
      </c>
      <c r="O92">
        <v>0.5</v>
      </c>
      <c r="P92" t="e">
        <f>IF(OR($M$92&lt;$N$6,$M$92&gt;$N$8),$M$92,#N/A)</f>
        <v>#N/A</v>
      </c>
      <c r="Q92" t="e">
        <f>IF(OR(AND($M$92&lt;$N$5,$M$92&gt;=$N$6),AND($M$92&gt;$N$7,$M$92&lt;=$N$8)),$M$92,#N/A)</f>
        <v>#N/A</v>
      </c>
      <c r="R92">
        <f>IF(OR(AND($M$92&lt;$N$2,$M$92&gt;=$N$5),AND($M$92&gt;$N$4,$M$92&lt;=$N$7)),$M$92,"")</f>
        <v>-0.17634374223803953</v>
      </c>
    </row>
    <row r="93" spans="1:18" ht="12.75">
      <c r="A93">
        <f>IF(ISBLANK(data!H95),"",data!H95)</f>
        <v>-0.09085015329679548</v>
      </c>
      <c r="C93">
        <v>0.5</v>
      </c>
      <c r="D93" t="e">
        <f>IF(OR($A$93&lt;$B$6,$A$93&gt;$B$8),$A$93,#N/A)</f>
        <v>#N/A</v>
      </c>
      <c r="E93" t="e">
        <f>IF(OR(AND($A$93&lt;$B$5,$A$93&gt;=$B$6),AND($A$93&gt;$B$7,$A$93&lt;=$B$8)),$A$93,#N/A)</f>
        <v>#N/A</v>
      </c>
      <c r="F93">
        <f>IF(OR(AND($A$93&lt;$B$2,$A$93&gt;=$B$5),AND($A$93&gt;$B$4,$A$93&lt;=$B$7)),$A$93,"")</f>
        <v>-0.09085015329679548</v>
      </c>
      <c r="M93">
        <f>IF(ISBLANK(data!H95),"",data!H95)</f>
        <v>-0.09085015329679548</v>
      </c>
      <c r="O93">
        <v>0.5</v>
      </c>
      <c r="P93" t="e">
        <f>IF(OR($M$93&lt;$N$6,$M$93&gt;$N$8),$M$93,#N/A)</f>
        <v>#N/A</v>
      </c>
      <c r="Q93" t="e">
        <f>IF(OR(AND($M$93&lt;$N$5,$M$93&gt;=$N$6),AND($M$93&gt;$N$7,$M$93&lt;=$N$8)),$M$93,#N/A)</f>
        <v>#N/A</v>
      </c>
      <c r="R93">
        <f>IF(OR(AND($M$93&lt;$N$2,$M$93&gt;=$N$5),AND($M$93&gt;$N$4,$M$93&lt;=$N$7)),$M$93,"")</f>
        <v>-0.09085015329679548</v>
      </c>
    </row>
    <row r="94" spans="1:18" ht="12.75">
      <c r="A94">
        <f>IF(ISBLANK(data!H96),"",data!H96)</f>
        <v>0.17295380679035444</v>
      </c>
      <c r="C94">
        <v>0.5</v>
      </c>
      <c r="D94" t="e">
        <f>IF(OR($A$94&lt;$B$6,$A$94&gt;$B$8),$A$94,#N/A)</f>
        <v>#N/A</v>
      </c>
      <c r="E94" t="e">
        <f>IF(OR(AND($A$94&lt;$B$5,$A$94&gt;=$B$6),AND($A$94&gt;$B$7,$A$94&lt;=$B$8)),$A$94,#N/A)</f>
        <v>#N/A</v>
      </c>
      <c r="F94">
        <f>IF(OR(AND($A$94&lt;$B$2,$A$94&gt;=$B$5),AND($A$94&gt;$B$4,$A$94&lt;=$B$7)),$A$94,"")</f>
        <v>0.17295380679035444</v>
      </c>
      <c r="M94">
        <f>IF(ISBLANK(data!H96),"",data!H96)</f>
        <v>0.17295380679035444</v>
      </c>
      <c r="O94">
        <v>0.5</v>
      </c>
      <c r="P94" t="e">
        <f>IF(OR($M$94&lt;$N$6,$M$94&gt;$N$8),$M$94,#N/A)</f>
        <v>#N/A</v>
      </c>
      <c r="Q94" t="e">
        <f>IF(OR(AND($M$94&lt;$N$5,$M$94&gt;=$N$6),AND($M$94&gt;$N$7,$M$94&lt;=$N$8)),$M$94,#N/A)</f>
        <v>#N/A</v>
      </c>
      <c r="R94">
        <f>IF(OR(AND($M$94&lt;$N$2,$M$94&gt;=$N$5),AND($M$94&gt;$N$4,$M$94&lt;=$N$7)),$M$94,"")</f>
        <v>0.17295380679035444</v>
      </c>
    </row>
    <row r="95" spans="1:18" ht="12.75">
      <c r="A95">
        <f>IF(ISBLANK(data!H97),"",data!H97)</f>
        <v>-0.42087738710305117</v>
      </c>
      <c r="C95">
        <v>0.5</v>
      </c>
      <c r="D95">
        <f>IF(OR($A$95&lt;$B$6,$A$95&gt;$B$8),$A$95,#N/A)</f>
        <v>-0.42087738710305117</v>
      </c>
      <c r="E95" t="e">
        <f>IF(OR(AND($A$95&lt;$B$5,$A$95&gt;=$B$6),AND($A$95&gt;$B$7,$A$95&lt;=$B$8)),$A$95,#N/A)</f>
        <v>#N/A</v>
      </c>
      <c r="F95">
        <f>IF(OR(AND($A$95&lt;$B$2,$A$95&gt;=$B$5),AND($A$95&gt;$B$4,$A$95&lt;=$B$7)),$A$95,"")</f>
      </c>
      <c r="M95">
        <f>IF(ISBLANK(data!H97),"",data!H97)</f>
        <v>-0.42087738710305117</v>
      </c>
      <c r="O95">
        <v>0.5</v>
      </c>
      <c r="P95">
        <f>IF(OR($M$95&lt;$N$6,$M$95&gt;$N$8),$M$95,#N/A)</f>
        <v>-0.42087738710305117</v>
      </c>
      <c r="Q95" t="e">
        <f>IF(OR(AND($M$95&lt;$N$5,$M$95&gt;=$N$6),AND($M$95&gt;$N$7,$M$95&lt;=$N$8)),$M$95,#N/A)</f>
        <v>#N/A</v>
      </c>
      <c r="R95">
        <f>IF(OR(AND($M$95&lt;$N$2,$M$95&gt;=$N$5),AND($M$95&gt;$N$4,$M$95&lt;=$N$7)),$M$95,"")</f>
      </c>
    </row>
    <row r="96" spans="1:18" ht="12.75">
      <c r="A96">
        <f>IF(ISBLANK(data!H98),"",data!H98)</f>
        <v>-0.1087513636260356</v>
      </c>
      <c r="C96">
        <v>0.5</v>
      </c>
      <c r="D96" t="e">
        <f>IF(OR($A$96&lt;$B$6,$A$96&gt;$B$8),$A$96,#N/A)</f>
        <v>#N/A</v>
      </c>
      <c r="E96" t="e">
        <f>IF(OR(AND($A$96&lt;$B$5,$A$96&gt;=$B$6),AND($A$96&gt;$B$7,$A$96&lt;=$B$8)),$A$96,#N/A)</f>
        <v>#N/A</v>
      </c>
      <c r="F96">
        <f>IF(OR(AND($A$96&lt;$B$2,$A$96&gt;=$B$5),AND($A$96&gt;$B$4,$A$96&lt;=$B$7)),$A$96,"")</f>
        <v>-0.1087513636260356</v>
      </c>
      <c r="M96">
        <f>IF(ISBLANK(data!H98),"",data!H98)</f>
        <v>-0.1087513636260356</v>
      </c>
      <c r="O96">
        <v>0.5</v>
      </c>
      <c r="P96" t="e">
        <f>IF(OR($M$96&lt;$N$6,$M$96&gt;$N$8),$M$96,#N/A)</f>
        <v>#N/A</v>
      </c>
      <c r="Q96" t="e">
        <f>IF(OR(AND($M$96&lt;$N$5,$M$96&gt;=$N$6),AND($M$96&gt;$N$7,$M$96&lt;=$N$8)),$M$96,#N/A)</f>
        <v>#N/A</v>
      </c>
      <c r="R96">
        <f>IF(OR(AND($M$96&lt;$N$2,$M$96&gt;=$N$5),AND($M$96&gt;$N$4,$M$96&lt;=$N$7)),$M$96,"")</f>
        <v>-0.1087513636260356</v>
      </c>
    </row>
    <row r="97" spans="1:18" ht="12.75">
      <c r="A97">
        <f>IF(ISBLANK(data!H99),"",data!H99)</f>
        <v>0.24586057759844226</v>
      </c>
      <c r="C97">
        <v>0.5</v>
      </c>
      <c r="D97" t="e">
        <f>IF(OR($A$97&lt;$B$6,$A$97&gt;$B$8),$A$97,#N/A)</f>
        <v>#N/A</v>
      </c>
      <c r="E97" t="e">
        <f>IF(OR(AND($A$97&lt;$B$5,$A$97&gt;=$B$6),AND($A$97&gt;$B$7,$A$97&lt;=$B$8)),$A$97,#N/A)</f>
        <v>#N/A</v>
      </c>
      <c r="F97">
        <f>IF(OR(AND($A$97&lt;$B$2,$A$97&gt;=$B$5),AND($A$97&gt;$B$4,$A$97&lt;=$B$7)),$A$97,"")</f>
        <v>0.24586057759844226</v>
      </c>
      <c r="M97">
        <f>IF(ISBLANK(data!H99),"",data!H99)</f>
        <v>0.24586057759844226</v>
      </c>
      <c r="O97">
        <v>0.5</v>
      </c>
      <c r="P97" t="e">
        <f>IF(OR($M$97&lt;$N$6,$M$97&gt;$N$8),$M$97,#N/A)</f>
        <v>#N/A</v>
      </c>
      <c r="Q97" t="e">
        <f>IF(OR(AND($M$97&lt;$N$5,$M$97&gt;=$N$6),AND($M$97&gt;$N$7,$M$97&lt;=$N$8)),$M$97,#N/A)</f>
        <v>#N/A</v>
      </c>
      <c r="R97">
        <f>IF(OR(AND($M$97&lt;$N$2,$M$97&gt;=$N$5),AND($M$97&gt;$N$4,$M$97&lt;=$N$7)),$M$97,"")</f>
        <v>0.24586057759844226</v>
      </c>
    </row>
    <row r="98" spans="1:18" ht="12.75">
      <c r="A98">
        <f>IF(ISBLANK(data!H100),"",data!H100)</f>
        <v>-0.13621355784446212</v>
      </c>
      <c r="C98">
        <v>0.5</v>
      </c>
      <c r="D98" t="e">
        <f>IF(OR($A$98&lt;$B$6,$A$98&gt;$B$8),$A$98,#N/A)</f>
        <v>#N/A</v>
      </c>
      <c r="E98" t="e">
        <f>IF(OR(AND($A$98&lt;$B$5,$A$98&gt;=$B$6),AND($A$98&gt;$B$7,$A$98&lt;=$B$8)),$A$98,#N/A)</f>
        <v>#N/A</v>
      </c>
      <c r="F98">
        <f>IF(OR(AND($A$98&lt;$B$2,$A$98&gt;=$B$5),AND($A$98&gt;$B$4,$A$98&lt;=$B$7)),$A$98,"")</f>
        <v>-0.13621355784446212</v>
      </c>
      <c r="M98">
        <f>IF(ISBLANK(data!H100),"",data!H100)</f>
        <v>-0.13621355784446212</v>
      </c>
      <c r="O98">
        <v>0.5</v>
      </c>
      <c r="P98" t="e">
        <f>IF(OR($M$98&lt;$N$6,$M$98&gt;$N$8),$M$98,#N/A)</f>
        <v>#N/A</v>
      </c>
      <c r="Q98" t="e">
        <f>IF(OR(AND($M$98&lt;$N$5,$M$98&gt;=$N$6),AND($M$98&gt;$N$7,$M$98&lt;=$N$8)),$M$98,#N/A)</f>
        <v>#N/A</v>
      </c>
      <c r="R98">
        <f>IF(OR(AND($M$98&lt;$N$2,$M$98&gt;=$N$5),AND($M$98&gt;$N$4,$M$98&lt;=$N$7)),$M$98,"")</f>
        <v>-0.13621355784446212</v>
      </c>
    </row>
    <row r="99" spans="1:18" ht="12.75">
      <c r="A99">
        <f>IF(ISBLANK(data!H101),"",data!H101)</f>
        <v>0</v>
      </c>
      <c r="C99">
        <v>0.5</v>
      </c>
      <c r="D99" t="e">
        <f>IF(OR($A$99&lt;$B$6,$A$99&gt;$B$8),$A$99,#N/A)</f>
        <v>#N/A</v>
      </c>
      <c r="E99" t="e">
        <f>IF(OR(AND($A$99&lt;$B$5,$A$99&gt;=$B$6),AND($A$99&gt;$B$7,$A$99&lt;=$B$8)),$A$99,#N/A)</f>
        <v>#N/A</v>
      </c>
      <c r="F99">
        <f>IF(OR(AND($A$99&lt;$B$2,$A$99&gt;=$B$5),AND($A$99&gt;$B$4,$A$99&lt;=$B$7)),$A$99,"")</f>
      </c>
      <c r="M99">
        <f>IF(ISBLANK(data!H101),"",data!H101)</f>
        <v>0</v>
      </c>
      <c r="O99">
        <v>0.5</v>
      </c>
      <c r="P99" t="e">
        <f>IF(OR($M$99&lt;$N$6,$M$99&gt;$N$8),$M$99,#N/A)</f>
        <v>#N/A</v>
      </c>
      <c r="Q99" t="e">
        <f>IF(OR(AND($M$99&lt;$N$5,$M$99&gt;=$N$6),AND($M$99&gt;$N$7,$M$99&lt;=$N$8)),$M$99,#N/A)</f>
        <v>#N/A</v>
      </c>
      <c r="R99">
        <f>IF(OR(AND($M$99&lt;$N$2,$M$99&gt;=$N$5),AND($M$99&gt;$N$4,$M$99&lt;=$N$7)),$M$99,"")</f>
      </c>
    </row>
    <row r="100" spans="1:18" ht="12.75">
      <c r="A100">
        <f>IF(ISBLANK(data!H102),"",data!H102)</f>
        <v>-0.14627369773021476</v>
      </c>
      <c r="C100">
        <v>0.5</v>
      </c>
      <c r="D100" t="e">
        <f>IF(OR($A$100&lt;$B$6,$A$100&gt;$B$8),$A$100,#N/A)</f>
        <v>#N/A</v>
      </c>
      <c r="E100" t="e">
        <f>IF(OR(AND($A$100&lt;$B$5,$A$100&gt;=$B$6),AND($A$100&gt;$B$7,$A$100&lt;=$B$8)),$A$100,#N/A)</f>
        <v>#N/A</v>
      </c>
      <c r="F100">
        <f>IF(OR(AND($A$100&lt;$B$2,$A$100&gt;=$B$5),AND($A$100&gt;$B$4,$A$100&lt;=$B$7)),$A$100,"")</f>
        <v>-0.14627369773021476</v>
      </c>
      <c r="M100">
        <f>IF(ISBLANK(data!H102),"",data!H102)</f>
        <v>-0.14627369773021476</v>
      </c>
      <c r="O100">
        <v>0.5</v>
      </c>
      <c r="P100" t="e">
        <f>IF(OR($M$100&lt;$N$6,$M$100&gt;$N$8),$M$100,#N/A)</f>
        <v>#N/A</v>
      </c>
      <c r="Q100" t="e">
        <f>IF(OR(AND($M$100&lt;$N$5,$M$100&gt;=$N$6),AND($M$100&gt;$N$7,$M$100&lt;=$N$8)),$M$100,#N/A)</f>
        <v>#N/A</v>
      </c>
      <c r="R100">
        <f>IF(OR(AND($M$100&lt;$N$2,$M$100&gt;=$N$5),AND($M$100&gt;$N$4,$M$100&lt;=$N$7)),$M$100,"")</f>
        <v>-0.14627369773021476</v>
      </c>
    </row>
    <row r="101" spans="1:18" ht="12.75">
      <c r="A101">
        <f>IF(ISBLANK(data!H103),"",data!H103)</f>
        <v>0.1327538883738738</v>
      </c>
      <c r="C101">
        <v>0.5</v>
      </c>
      <c r="D101" t="e">
        <f>IF(OR($A$101&lt;$B$6,$A$101&gt;$B$8),$A$101,#N/A)</f>
        <v>#N/A</v>
      </c>
      <c r="E101" t="e">
        <f>IF(OR(AND($A$101&lt;$B$5,$A$101&gt;=$B$6),AND($A$101&gt;$B$7,$A$101&lt;=$B$8)),$A$101,#N/A)</f>
        <v>#N/A</v>
      </c>
      <c r="F101">
        <f>IF(OR(AND($A$101&lt;$B$2,$A$101&gt;=$B$5),AND($A$101&gt;$B$4,$A$101&lt;=$B$7)),$A$101,"")</f>
        <v>0.1327538883738738</v>
      </c>
      <c r="M101">
        <f>IF(ISBLANK(data!H103),"",data!H103)</f>
        <v>0.1327538883738738</v>
      </c>
      <c r="O101">
        <v>0.5</v>
      </c>
      <c r="P101" t="e">
        <f>IF(OR($M$101&lt;$N$6,$M$101&gt;$N$8),$M$101,#N/A)</f>
        <v>#N/A</v>
      </c>
      <c r="Q101" t="e">
        <f>IF(OR(AND($M$101&lt;$N$5,$M$101&gt;=$N$6),AND($M$101&gt;$N$7,$M$101&lt;=$N$8)),$M$101,#N/A)</f>
        <v>#N/A</v>
      </c>
      <c r="R101">
        <f>IF(OR(AND($M$101&lt;$N$2,$M$101&gt;=$N$5),AND($M$101&gt;$N$4,$M$101&lt;=$N$7)),$M$101,"")</f>
        <v>0.1327538883738738</v>
      </c>
    </row>
    <row r="102" spans="1:18" ht="12.75">
      <c r="A102">
        <f>IF(ISBLANK(data!N3),"",data!N3)</f>
      </c>
      <c r="C102">
        <v>1.5</v>
      </c>
      <c r="D102" t="e">
        <f>IF(OR($A$102&lt;$B$15,$A$102&gt;$B$17),$A$102,#N/A)</f>
        <v>#NUM!</v>
      </c>
      <c r="E102" t="e">
        <f>IF(OR(AND($A$102&lt;$B$14,$A$102&gt;=$B$15),AND($A$102&gt;$B$16,$A$102&lt;=$B$17)),$A$102,#N/A)</f>
        <v>#NUM!</v>
      </c>
      <c r="F102" t="e">
        <f>IF(OR(AND($A$102&lt;$B$11,$A$102&gt;=$B$14),AND($A$102&gt;$B$13,$A$102&lt;=$B$16)),$A$102,"")</f>
        <v>#NUM!</v>
      </c>
      <c r="M102">
        <f>IF(ISBLANK(data!G4),"",data!G4)</f>
        <v>0.1795190813417251</v>
      </c>
      <c r="O102">
        <v>1.5</v>
      </c>
      <c r="P102" t="e">
        <f>IF(OR($M$102&lt;$N$15,$M$102&gt;$N$17),$M$102,#N/A)</f>
        <v>#N/A</v>
      </c>
      <c r="Q102" t="e">
        <f>IF(OR(AND($M$102&lt;$N$14,$M$102&gt;=$N$15),AND($M$102&gt;$N$16,$M$102&lt;=$N$17)),$M$102,#N/A)</f>
        <v>#N/A</v>
      </c>
      <c r="R102">
        <f>IF(OR(AND($M$102&lt;$N$11,$M$102&gt;=$N$14),AND($M$102&gt;$N$13,$M$102&lt;=$N$16)),$M$102,"")</f>
        <v>0.1795190813417251</v>
      </c>
    </row>
    <row r="103" spans="1:18" ht="12.75">
      <c r="A103">
        <f>IF(ISBLANK(data!N4),"",data!N4)</f>
      </c>
      <c r="C103">
        <v>1.5</v>
      </c>
      <c r="D103" t="e">
        <f>IF(OR($A$103&lt;$B$15,$A$103&gt;$B$17),$A$103,#N/A)</f>
        <v>#NUM!</v>
      </c>
      <c r="E103" t="e">
        <f>IF(OR(AND($A$103&lt;$B$14,$A$103&gt;=$B$15),AND($A$103&gt;$B$16,$A$103&lt;=$B$17)),$A$103,#N/A)</f>
        <v>#NUM!</v>
      </c>
      <c r="F103" t="e">
        <f>IF(OR(AND($A$103&lt;$B$11,$A$103&gt;=$B$14),AND($A$103&gt;$B$13,$A$103&lt;=$B$16)),$A$103,"")</f>
        <v>#NUM!</v>
      </c>
      <c r="M103">
        <f>IF(ISBLANK(data!G5),"",data!G5)</f>
        <v>-0.06797178905094751</v>
      </c>
      <c r="O103">
        <v>1.5</v>
      </c>
      <c r="P103" t="e">
        <f>IF(OR($M$103&lt;$N$15,$M$103&gt;$N$17),$M$103,#N/A)</f>
        <v>#N/A</v>
      </c>
      <c r="Q103" t="e">
        <f>IF(OR(AND($M$103&lt;$N$14,$M$103&gt;=$N$15),AND($M$103&gt;$N$16,$M$103&lt;=$N$17)),$M$103,#N/A)</f>
        <v>#N/A</v>
      </c>
      <c r="R103">
        <f>IF(OR(AND($M$103&lt;$N$11,$M$103&gt;=$N$14),AND($M$103&gt;$N$13,$M$103&lt;=$N$16)),$M$103,"")</f>
        <v>-0.06797178905094751</v>
      </c>
    </row>
    <row r="104" spans="1:18" ht="12.75">
      <c r="A104">
        <f>IF(ISBLANK(data!N5),"",data!N5)</f>
      </c>
      <c r="C104">
        <v>1.5</v>
      </c>
      <c r="D104" t="e">
        <f>IF(OR($A$104&lt;$B$15,$A$104&gt;$B$17),$A$104,#N/A)</f>
        <v>#NUM!</v>
      </c>
      <c r="E104" t="e">
        <f>IF(OR(AND($A$104&lt;$B$14,$A$104&gt;=$B$15),AND($A$104&gt;$B$16,$A$104&lt;=$B$17)),$A$104,#N/A)</f>
        <v>#NUM!</v>
      </c>
      <c r="F104" t="e">
        <f>IF(OR(AND($A$104&lt;$B$11,$A$104&gt;=$B$14),AND($A$104&gt;$B$13,$A$104&lt;=$B$16)),$A$104,"")</f>
        <v>#NUM!</v>
      </c>
      <c r="M104">
        <f>IF(ISBLANK(data!G6),"",data!G6)</f>
        <v>0.19561163803558895</v>
      </c>
      <c r="O104">
        <v>1.5</v>
      </c>
      <c r="P104" t="e">
        <f>IF(OR($M$104&lt;$N$15,$M$104&gt;$N$17),$M$104,#N/A)</f>
        <v>#N/A</v>
      </c>
      <c r="Q104" t="e">
        <f>IF(OR(AND($M$104&lt;$N$14,$M$104&gt;=$N$15),AND($M$104&gt;$N$16,$M$104&lt;=$N$17)),$M$104,#N/A)</f>
        <v>#N/A</v>
      </c>
      <c r="R104">
        <f>IF(OR(AND($M$104&lt;$N$11,$M$104&gt;=$N$14),AND($M$104&gt;$N$13,$M$104&lt;=$N$16)),$M$104,"")</f>
        <v>0.19561163803558895</v>
      </c>
    </row>
    <row r="105" spans="1:18" ht="12.75">
      <c r="A105">
        <f>IF(ISBLANK(data!N6),"",data!N6)</f>
      </c>
      <c r="C105">
        <v>1.5</v>
      </c>
      <c r="D105" t="e">
        <f>IF(OR($A$105&lt;$B$15,$A$105&gt;$B$17),$A$105,#N/A)</f>
        <v>#NUM!</v>
      </c>
      <c r="E105" t="e">
        <f>IF(OR(AND($A$105&lt;$B$14,$A$105&gt;=$B$15),AND($A$105&gt;$B$16,$A$105&lt;=$B$17)),$A$105,#N/A)</f>
        <v>#NUM!</v>
      </c>
      <c r="F105" t="e">
        <f>IF(OR(AND($A$105&lt;$B$11,$A$105&gt;=$B$14),AND($A$105&gt;$B$13,$A$105&lt;=$B$16)),$A$105,"")</f>
        <v>#NUM!</v>
      </c>
      <c r="M105">
        <f>IF(ISBLANK(data!G7),"",data!G7)</f>
        <v>-0.025092697903153976</v>
      </c>
      <c r="O105">
        <v>1.5</v>
      </c>
      <c r="P105" t="e">
        <f>IF(OR($M$105&lt;$N$15,$M$105&gt;$N$17),$M$105,#N/A)</f>
        <v>#N/A</v>
      </c>
      <c r="Q105" t="e">
        <f>IF(OR(AND($M$105&lt;$N$14,$M$105&gt;=$N$15),AND($M$105&gt;$N$16,$M$105&lt;=$N$17)),$M$105,#N/A)</f>
        <v>#N/A</v>
      </c>
      <c r="R105">
        <f>IF(OR(AND($M$105&lt;$N$11,$M$105&gt;=$N$14),AND($M$105&gt;$N$13,$M$105&lt;=$N$16)),$M$105,"")</f>
        <v>-0.025092697903153976</v>
      </c>
    </row>
    <row r="106" spans="1:18" ht="12.75">
      <c r="A106">
        <f>IF(ISBLANK(data!N7),"",data!N7)</f>
      </c>
      <c r="C106">
        <v>1.5</v>
      </c>
      <c r="D106" t="e">
        <f>IF(OR($A$106&lt;$B$15,$A$106&gt;$B$17),$A$106,#N/A)</f>
        <v>#NUM!</v>
      </c>
      <c r="E106" t="e">
        <f>IF(OR(AND($A$106&lt;$B$14,$A$106&gt;=$B$15),AND($A$106&gt;$B$16,$A$106&lt;=$B$17)),$A$106,#N/A)</f>
        <v>#NUM!</v>
      </c>
      <c r="F106" t="e">
        <f>IF(OR(AND($A$106&lt;$B$11,$A$106&gt;=$B$14),AND($A$106&gt;$B$13,$A$106&lt;=$B$16)),$A$106,"")</f>
        <v>#NUM!</v>
      </c>
      <c r="M106">
        <f>IF(ISBLANK(data!G8),"",data!G8)</f>
        <v>0.24660580831961204</v>
      </c>
      <c r="O106">
        <v>1.5</v>
      </c>
      <c r="P106" t="e">
        <f>IF(OR($M$106&lt;$N$15,$M$106&gt;$N$17),$M$106,#N/A)</f>
        <v>#N/A</v>
      </c>
      <c r="Q106" t="e">
        <f>IF(OR(AND($M$106&lt;$N$14,$M$106&gt;=$N$15),AND($M$106&gt;$N$16,$M$106&lt;=$N$17)),$M$106,#N/A)</f>
        <v>#N/A</v>
      </c>
      <c r="R106">
        <f>IF(OR(AND($M$106&lt;$N$11,$M$106&gt;=$N$14),AND($M$106&gt;$N$13,$M$106&lt;=$N$16)),$M$106,"")</f>
        <v>0.24660580831961204</v>
      </c>
    </row>
    <row r="107" spans="1:18" ht="12.75">
      <c r="A107">
        <f>IF(ISBLANK(data!N8),"",data!N8)</f>
      </c>
      <c r="C107">
        <v>1.5</v>
      </c>
      <c r="D107" t="e">
        <f>IF(OR($A$107&lt;$B$15,$A$107&gt;$B$17),$A$107,#N/A)</f>
        <v>#NUM!</v>
      </c>
      <c r="E107" t="e">
        <f>IF(OR(AND($A$107&lt;$B$14,$A$107&gt;=$B$15),AND($A$107&gt;$B$16,$A$107&lt;=$B$17)),$A$107,#N/A)</f>
        <v>#NUM!</v>
      </c>
      <c r="F107" t="e">
        <f>IF(OR(AND($A$107&lt;$B$11,$A$107&gt;=$B$14),AND($A$107&gt;$B$13,$A$107&lt;=$B$16)),$A$107,"")</f>
        <v>#NUM!</v>
      </c>
      <c r="M107">
        <f>IF(ISBLANK(data!G9),"",data!G9)</f>
        <v>-0.020078159021161803</v>
      </c>
      <c r="O107">
        <v>1.5</v>
      </c>
      <c r="P107" t="e">
        <f>IF(OR($M$107&lt;$N$15,$M$107&gt;$N$17),$M$107,#N/A)</f>
        <v>#N/A</v>
      </c>
      <c r="Q107" t="e">
        <f>IF(OR(AND($M$107&lt;$N$14,$M$107&gt;=$N$15),AND($M$107&gt;$N$16,$M$107&lt;=$N$17)),$M$107,#N/A)</f>
        <v>#N/A</v>
      </c>
      <c r="R107">
        <f>IF(OR(AND($M$107&lt;$N$11,$M$107&gt;=$N$14),AND($M$107&gt;$N$13,$M$107&lt;=$N$16)),$M$107,"")</f>
      </c>
    </row>
    <row r="108" spans="1:18" ht="12.75">
      <c r="A108">
        <f>IF(ISBLANK(data!N9),"",data!N9)</f>
      </c>
      <c r="C108">
        <v>1.5</v>
      </c>
      <c r="D108" t="e">
        <f>IF(OR($A$108&lt;$B$15,$A$108&gt;$B$17),$A$108,#N/A)</f>
        <v>#NUM!</v>
      </c>
      <c r="E108" t="e">
        <f>IF(OR(AND($A$108&lt;$B$14,$A$108&gt;=$B$15),AND($A$108&gt;$B$16,$A$108&lt;=$B$17)),$A$108,#N/A)</f>
        <v>#NUM!</v>
      </c>
      <c r="F108" t="e">
        <f>IF(OR(AND($A$108&lt;$B$11,$A$108&gt;=$B$14),AND($A$108&gt;$B$13,$A$108&lt;=$B$16)),$A$108,"")</f>
        <v>#NUM!</v>
      </c>
      <c r="M108">
        <f>IF(ISBLANK(data!G10),"",data!G10)</f>
        <v>0.03974032864951412</v>
      </c>
      <c r="O108">
        <v>1.5</v>
      </c>
      <c r="P108" t="e">
        <f>IF(OR($M$108&lt;$N$15,$M$108&gt;$N$17),$M$108,#N/A)</f>
        <v>#N/A</v>
      </c>
      <c r="Q108" t="e">
        <f>IF(OR(AND($M$108&lt;$N$14,$M$108&gt;=$N$15),AND($M$108&gt;$N$16,$M$108&lt;=$N$17)),$M$108,#N/A)</f>
        <v>#N/A</v>
      </c>
      <c r="R108">
        <f>IF(OR(AND($M$108&lt;$N$11,$M$108&gt;=$N$14),AND($M$108&gt;$N$13,$M$108&lt;=$N$16)),$M$108,"")</f>
      </c>
    </row>
    <row r="109" spans="1:18" ht="12.75">
      <c r="A109">
        <f>IF(ISBLANK(data!N10),"",data!N10)</f>
      </c>
      <c r="C109">
        <v>1.5</v>
      </c>
      <c r="D109" t="e">
        <f>IF(OR($A$109&lt;$B$15,$A$109&gt;$B$17),$A$109,#N/A)</f>
        <v>#NUM!</v>
      </c>
      <c r="E109" t="e">
        <f>IF(OR(AND($A$109&lt;$B$14,$A$109&gt;=$B$15),AND($A$109&gt;$B$16,$A$109&lt;=$B$17)),$A$109,#N/A)</f>
        <v>#NUM!</v>
      </c>
      <c r="F109" t="e">
        <f>IF(OR(AND($A$109&lt;$B$11,$A$109&gt;=$B$14),AND($A$109&gt;$B$13,$A$109&lt;=$B$16)),$A$109,"")</f>
        <v>#NUM!</v>
      </c>
      <c r="M109">
        <f>IF(ISBLANK(data!G11),"",data!G11)</f>
        <v>-0.060229894536693654</v>
      </c>
      <c r="O109">
        <v>1.5</v>
      </c>
      <c r="P109" t="e">
        <f>IF(OR($M$109&lt;$N$15,$M$109&gt;$N$17),$M$109,#N/A)</f>
        <v>#N/A</v>
      </c>
      <c r="Q109" t="e">
        <f>IF(OR(AND($M$109&lt;$N$14,$M$109&gt;=$N$15),AND($M$109&gt;$N$16,$M$109&lt;=$N$17)),$M$109,#N/A)</f>
        <v>#N/A</v>
      </c>
      <c r="R109">
        <f>IF(OR(AND($M$109&lt;$N$11,$M$109&gt;=$N$14),AND($M$109&gt;$N$13,$M$109&lt;=$N$16)),$M$109,"")</f>
        <v>-0.060229894536693654</v>
      </c>
    </row>
    <row r="110" spans="1:18" ht="12.75">
      <c r="A110">
        <f>IF(ISBLANK(data!N11),"",data!N11)</f>
      </c>
      <c r="C110">
        <v>1.5</v>
      </c>
      <c r="D110" t="e">
        <f>IF(OR($A$110&lt;$B$15,$A$110&gt;$B$17),$A$110,#N/A)</f>
        <v>#NUM!</v>
      </c>
      <c r="E110" t="e">
        <f>IF(OR(AND($A$110&lt;$B$14,$A$110&gt;=$B$15),AND($A$110&gt;$B$16,$A$110&lt;=$B$17)),$A$110,#N/A)</f>
        <v>#NUM!</v>
      </c>
      <c r="F110" t="e">
        <f>IF(OR(AND($A$110&lt;$B$11,$A$110&gt;=$B$14),AND($A$110&gt;$B$13,$A$110&lt;=$B$16)),$A$110,"")</f>
        <v>#NUM!</v>
      </c>
      <c r="M110">
        <f>IF(ISBLANK(data!G12),"",data!G12)</f>
        <v>0.047157812969341024</v>
      </c>
      <c r="O110">
        <v>1.5</v>
      </c>
      <c r="P110" t="e">
        <f>IF(OR($M$110&lt;$N$15,$M$110&gt;$N$17),$M$110,#N/A)</f>
        <v>#N/A</v>
      </c>
      <c r="Q110" t="e">
        <f>IF(OR(AND($M$110&lt;$N$14,$M$110&gt;=$N$15),AND($M$110&gt;$N$16,$M$110&lt;=$N$17)),$M$110,#N/A)</f>
        <v>#N/A</v>
      </c>
      <c r="R110">
        <f>IF(OR(AND($M$110&lt;$N$11,$M$110&gt;=$N$14),AND($M$110&gt;$N$13,$M$110&lt;=$N$16)),$M$110,"")</f>
      </c>
    </row>
    <row r="111" spans="1:18" ht="12.75">
      <c r="A111">
        <f>IF(ISBLANK(data!N12),"",data!N12)</f>
      </c>
      <c r="C111">
        <v>1.5</v>
      </c>
      <c r="D111" t="e">
        <f>IF(OR($A$111&lt;$B$15,$A$111&gt;$B$17),$A$111,#N/A)</f>
        <v>#NUM!</v>
      </c>
      <c r="E111" t="e">
        <f>IF(OR(AND($A$111&lt;$B$14,$A$111&gt;=$B$15),AND($A$111&gt;$B$16,$A$111&lt;=$B$17)),$A$111,#N/A)</f>
        <v>#NUM!</v>
      </c>
      <c r="F111" t="e">
        <f>IF(OR(AND($A$111&lt;$B$11,$A$111&gt;=$B$14),AND($A$111&gt;$B$13,$A$111&lt;=$B$16)),$A$111,"")</f>
        <v>#NUM!</v>
      </c>
      <c r="M111">
        <f>IF(ISBLANK(data!G13),"",data!G13)</f>
        <v>0.019554918600337808</v>
      </c>
      <c r="O111">
        <v>1.5</v>
      </c>
      <c r="P111" t="e">
        <f>IF(OR($M$111&lt;$N$15,$M$111&gt;$N$17),$M$111,#N/A)</f>
        <v>#N/A</v>
      </c>
      <c r="Q111" t="e">
        <f>IF(OR(AND($M$111&lt;$N$14,$M$111&gt;=$N$15),AND($M$111&gt;$N$16,$M$111&lt;=$N$17)),$M$111,#N/A)</f>
        <v>#N/A</v>
      </c>
      <c r="R111">
        <f>IF(OR(AND($M$111&lt;$N$11,$M$111&gt;=$N$14),AND($M$111&gt;$N$13,$M$111&lt;=$N$16)),$M$111,"")</f>
      </c>
    </row>
    <row r="112" spans="1:18" ht="12.75">
      <c r="A112">
        <f>IF(ISBLANK(data!N13),"",data!N13)</f>
      </c>
      <c r="C112">
        <v>1.5</v>
      </c>
      <c r="D112" t="e">
        <f>IF(OR($A$112&lt;$B$15,$A$112&gt;$B$17),$A$112,#N/A)</f>
        <v>#NUM!</v>
      </c>
      <c r="E112" t="e">
        <f>IF(OR(AND($A$112&lt;$B$14,$A$112&gt;=$B$15),AND($A$112&gt;$B$16,$A$112&lt;=$B$17)),$A$112,#N/A)</f>
        <v>#NUM!</v>
      </c>
      <c r="F112" t="e">
        <f>IF(OR(AND($A$112&lt;$B$11,$A$112&gt;=$B$14),AND($A$112&gt;$B$13,$A$112&lt;=$B$16)),$A$112,"")</f>
        <v>#NUM!</v>
      </c>
      <c r="M112">
        <f>IF(ISBLANK(data!G14),"",data!G14)</f>
        <v>0.21405993258116734</v>
      </c>
      <c r="O112">
        <v>1.5</v>
      </c>
      <c r="P112" t="e">
        <f>IF(OR($M$112&lt;$N$15,$M$112&gt;$N$17),$M$112,#N/A)</f>
        <v>#N/A</v>
      </c>
      <c r="Q112" t="e">
        <f>IF(OR(AND($M$112&lt;$N$14,$M$112&gt;=$N$15),AND($M$112&gt;$N$16,$M$112&lt;=$N$17)),$M$112,#N/A)</f>
        <v>#N/A</v>
      </c>
      <c r="R112">
        <f>IF(OR(AND($M$112&lt;$N$11,$M$112&gt;=$N$14),AND($M$112&gt;$N$13,$M$112&lt;=$N$16)),$M$112,"")</f>
        <v>0.21405993258116734</v>
      </c>
    </row>
    <row r="113" spans="1:18" ht="12.75">
      <c r="A113">
        <f>IF(ISBLANK(data!N14),"",data!N14)</f>
      </c>
      <c r="C113">
        <v>1.5</v>
      </c>
      <c r="D113" t="e">
        <f>IF(OR($A$113&lt;$B$15,$A$113&gt;$B$17),$A$113,#N/A)</f>
        <v>#NUM!</v>
      </c>
      <c r="E113" t="e">
        <f>IF(OR(AND($A$113&lt;$B$14,$A$113&gt;=$B$15),AND($A$113&gt;$B$16,$A$113&lt;=$B$17)),$A$113,#N/A)</f>
        <v>#NUM!</v>
      </c>
      <c r="F113" t="e">
        <f>IF(OR(AND($A$113&lt;$B$11,$A$113&gt;=$B$14),AND($A$113&gt;$B$13,$A$113&lt;=$B$16)),$A$113,"")</f>
        <v>#NUM!</v>
      </c>
      <c r="M113">
        <f>IF(ISBLANK(data!G15),"",data!G15)</f>
        <v>0.02061928720273561</v>
      </c>
      <c r="O113">
        <v>1.5</v>
      </c>
      <c r="P113" t="e">
        <f>IF(OR($M$113&lt;$N$15,$M$113&gt;$N$17),$M$113,#N/A)</f>
        <v>#N/A</v>
      </c>
      <c r="Q113" t="e">
        <f>IF(OR(AND($M$113&lt;$N$14,$M$113&gt;=$N$15),AND($M$113&gt;$N$16,$M$113&lt;=$N$17)),$M$113,#N/A)</f>
        <v>#N/A</v>
      </c>
      <c r="R113">
        <f>IF(OR(AND($M$113&lt;$N$11,$M$113&gt;=$N$14),AND($M$113&gt;$N$13,$M$113&lt;=$N$16)),$M$113,"")</f>
      </c>
    </row>
    <row r="114" spans="1:18" ht="12.75">
      <c r="A114">
        <f>IF(ISBLANK(data!N15),"",data!N15)</f>
      </c>
      <c r="C114">
        <v>1.5</v>
      </c>
      <c r="D114" t="e">
        <f>IF(OR($A$114&lt;$B$15,$A$114&gt;$B$17),$A$114,#N/A)</f>
        <v>#NUM!</v>
      </c>
      <c r="E114" t="e">
        <f>IF(OR(AND($A$114&lt;$B$14,$A$114&gt;=$B$15),AND($A$114&gt;$B$16,$A$114&lt;=$B$17)),$A$114,#N/A)</f>
        <v>#NUM!</v>
      </c>
      <c r="F114" t="e">
        <f>IF(OR(AND($A$114&lt;$B$11,$A$114&gt;=$B$14),AND($A$114&gt;$B$13,$A$114&lt;=$B$16)),$A$114,"")</f>
        <v>#NUM!</v>
      </c>
      <c r="M114">
        <f>IF(ISBLANK(data!G16),"",data!G16)</f>
        <v>-0.03109058707003112</v>
      </c>
      <c r="O114">
        <v>1.5</v>
      </c>
      <c r="P114" t="e">
        <f>IF(OR($M$114&lt;$N$15,$M$114&gt;$N$17),$M$114,#N/A)</f>
        <v>#N/A</v>
      </c>
      <c r="Q114" t="e">
        <f>IF(OR(AND($M$114&lt;$N$14,$M$114&gt;=$N$15),AND($M$114&gt;$N$16,$M$114&lt;=$N$17)),$M$114,#N/A)</f>
        <v>#N/A</v>
      </c>
      <c r="R114">
        <f>IF(OR(AND($M$114&lt;$N$11,$M$114&gt;=$N$14),AND($M$114&gt;$N$13,$M$114&lt;=$N$16)),$M$114,"")</f>
        <v>-0.03109058707003112</v>
      </c>
    </row>
    <row r="115" spans="1:18" ht="12.75">
      <c r="A115">
        <f>IF(ISBLANK(data!N16),"",data!N16)</f>
      </c>
      <c r="C115">
        <v>1.5</v>
      </c>
      <c r="D115" t="e">
        <f>IF(OR($A$115&lt;$B$15,$A$115&gt;$B$17),$A$115,#N/A)</f>
        <v>#NUM!</v>
      </c>
      <c r="E115" t="e">
        <f>IF(OR(AND($A$115&lt;$B$14,$A$115&gt;=$B$15),AND($A$115&gt;$B$16,$A$115&lt;=$B$17)),$A$115,#N/A)</f>
        <v>#NUM!</v>
      </c>
      <c r="F115" t="e">
        <f>IF(OR(AND($A$115&lt;$B$11,$A$115&gt;=$B$14),AND($A$115&gt;$B$13,$A$115&lt;=$B$16)),$A$115,"")</f>
        <v>#NUM!</v>
      </c>
      <c r="M115">
        <f>IF(ISBLANK(data!G17),"",data!G17)</f>
        <v>0.020834086902842053</v>
      </c>
      <c r="O115">
        <v>1.5</v>
      </c>
      <c r="P115" t="e">
        <f>IF(OR($M$115&lt;$N$15,$M$115&gt;$N$17),$M$115,#N/A)</f>
        <v>#N/A</v>
      </c>
      <c r="Q115" t="e">
        <f>IF(OR(AND($M$115&lt;$N$14,$M$115&gt;=$N$15),AND($M$115&gt;$N$16,$M$115&lt;=$N$17)),$M$115,#N/A)</f>
        <v>#N/A</v>
      </c>
      <c r="R115">
        <f>IF(OR(AND($M$115&lt;$N$11,$M$115&gt;=$N$14),AND($M$115&gt;$N$13,$M$115&lt;=$N$16)),$M$115,"")</f>
      </c>
    </row>
    <row r="116" spans="1:18" ht="12.75">
      <c r="A116">
        <f>IF(ISBLANK(data!N17),"",data!N17)</f>
      </c>
      <c r="C116">
        <v>1.5</v>
      </c>
      <c r="D116" t="e">
        <f>IF(OR($A$116&lt;$B$15,$A$116&gt;$B$17),$A$116,#N/A)</f>
        <v>#NUM!</v>
      </c>
      <c r="E116" t="e">
        <f>IF(OR(AND($A$116&lt;$B$14,$A$116&gt;=$B$15),AND($A$116&gt;$B$16,$A$116&lt;=$B$17)),$A$116,#N/A)</f>
        <v>#NUM!</v>
      </c>
      <c r="F116" t="e">
        <f>IF(OR(AND($A$116&lt;$B$11,$A$116&gt;=$B$14),AND($A$116&gt;$B$13,$A$116&lt;=$B$16)),$A$116,"")</f>
        <v>#NUM!</v>
      </c>
      <c r="M116">
        <f>IF(ISBLANK(data!G18),"",data!G18)</f>
        <v>0.12122087666255746</v>
      </c>
      <c r="O116">
        <v>1.5</v>
      </c>
      <c r="P116" t="e">
        <f>IF(OR($M$116&lt;$N$15,$M$116&gt;$N$17),$M$116,#N/A)</f>
        <v>#N/A</v>
      </c>
      <c r="Q116" t="e">
        <f>IF(OR(AND($M$116&lt;$N$14,$M$116&gt;=$N$15),AND($M$116&gt;$N$16,$M$116&lt;=$N$17)),$M$116,#N/A)</f>
        <v>#N/A</v>
      </c>
      <c r="R116">
        <f>IF(OR(AND($M$116&lt;$N$11,$M$116&gt;=$N$14),AND($M$116&gt;$N$13,$M$116&lt;=$N$16)),$M$116,"")</f>
        <v>0.12122087666255746</v>
      </c>
    </row>
    <row r="117" spans="1:18" ht="12.75">
      <c r="A117">
        <f>IF(ISBLANK(data!N18),"",data!N18)</f>
      </c>
      <c r="C117">
        <v>1.5</v>
      </c>
      <c r="D117" t="e">
        <f>IF(OR($A$117&lt;$B$15,$A$117&gt;$B$17),$A$117,#N/A)</f>
        <v>#NUM!</v>
      </c>
      <c r="E117" t="e">
        <f>IF(OR(AND($A$117&lt;$B$14,$A$117&gt;=$B$15),AND($A$117&gt;$B$16,$A$117&lt;=$B$17)),$A$117,#N/A)</f>
        <v>#NUM!</v>
      </c>
      <c r="F117" t="e">
        <f>IF(OR(AND($A$117&lt;$B$11,$A$117&gt;=$B$14),AND($A$117&gt;$B$13,$A$117&lt;=$B$16)),$A$117,"")</f>
        <v>#NUM!</v>
      </c>
      <c r="M117">
        <f>IF(ISBLANK(data!G19),"",data!G19)</f>
        <v>-0.02310302070403419</v>
      </c>
      <c r="O117">
        <v>1.5</v>
      </c>
      <c r="P117" t="e">
        <f>IF(OR($M$117&lt;$N$15,$M$117&gt;$N$17),$M$117,#N/A)</f>
        <v>#N/A</v>
      </c>
      <c r="Q117" t="e">
        <f>IF(OR(AND($M$117&lt;$N$14,$M$117&gt;=$N$15),AND($M$117&gt;$N$16,$M$117&lt;=$N$17)),$M$117,#N/A)</f>
        <v>#N/A</v>
      </c>
      <c r="R117">
        <f>IF(OR(AND($M$117&lt;$N$11,$M$117&gt;=$N$14),AND($M$117&gt;$N$13,$M$117&lt;=$N$16)),$M$117,"")</f>
      </c>
    </row>
    <row r="118" spans="1:18" ht="12.75">
      <c r="A118">
        <f>IF(ISBLANK(data!N19),"",data!N19)</f>
      </c>
      <c r="C118">
        <v>1.5</v>
      </c>
      <c r="D118" t="e">
        <f>IF(OR($A$118&lt;$B$15,$A$118&gt;$B$17),$A$118,#N/A)</f>
        <v>#NUM!</v>
      </c>
      <c r="E118" t="e">
        <f>IF(OR(AND($A$118&lt;$B$14,$A$118&gt;=$B$15),AND($A$118&gt;$B$16,$A$118&lt;=$B$17)),$A$118,#N/A)</f>
        <v>#NUM!</v>
      </c>
      <c r="F118" t="e">
        <f>IF(OR(AND($A$118&lt;$B$11,$A$118&gt;=$B$14),AND($A$118&gt;$B$13,$A$118&lt;=$B$16)),$A$118,"")</f>
        <v>#NUM!</v>
      </c>
      <c r="M118">
        <f>IF(ISBLANK(data!G20),"",data!G20)</f>
        <v>-0.18419246472976636</v>
      </c>
      <c r="O118">
        <v>1.5</v>
      </c>
      <c r="P118" t="e">
        <f>IF(OR($M$118&lt;$N$15,$M$118&gt;$N$17),$M$118,#N/A)</f>
        <v>#N/A</v>
      </c>
      <c r="Q118" t="e">
        <f>IF(OR(AND($M$118&lt;$N$14,$M$118&gt;=$N$15),AND($M$118&gt;$N$16,$M$118&lt;=$N$17)),$M$118,#N/A)</f>
        <v>#N/A</v>
      </c>
      <c r="R118">
        <f>IF(OR(AND($M$118&lt;$N$11,$M$118&gt;=$N$14),AND($M$118&gt;$N$13,$M$118&lt;=$N$16)),$M$118,"")</f>
        <v>-0.18419246472976636</v>
      </c>
    </row>
    <row r="119" spans="1:18" ht="12.75">
      <c r="A119">
        <f>IF(ISBLANK(data!N20),"",data!N20)</f>
      </c>
      <c r="C119">
        <v>1.5</v>
      </c>
      <c r="D119" t="e">
        <f>IF(OR($A$119&lt;$B$15,$A$119&gt;$B$17),$A$119,#N/A)</f>
        <v>#NUM!</v>
      </c>
      <c r="E119" t="e">
        <f>IF(OR(AND($A$119&lt;$B$14,$A$119&gt;=$B$15),AND($A$119&gt;$B$16,$A$119&lt;=$B$17)),$A$119,#N/A)</f>
        <v>#NUM!</v>
      </c>
      <c r="F119" t="e">
        <f>IF(OR(AND($A$119&lt;$B$11,$A$119&gt;=$B$14),AND($A$119&gt;$B$13,$A$119&lt;=$B$16)),$A$119,"")</f>
        <v>#NUM!</v>
      </c>
      <c r="M119">
        <f>IF(ISBLANK(data!G21),"",data!G21)</f>
        <v>0</v>
      </c>
      <c r="O119">
        <v>1.5</v>
      </c>
      <c r="P119" t="e">
        <f>IF(OR($M$119&lt;$N$15,$M$119&gt;$N$17),$M$119,#N/A)</f>
        <v>#N/A</v>
      </c>
      <c r="Q119" t="e">
        <f>IF(OR(AND($M$119&lt;$N$14,$M$119&gt;=$N$15),AND($M$119&gt;$N$16,$M$119&lt;=$N$17)),$M$119,#N/A)</f>
        <v>#N/A</v>
      </c>
      <c r="R119">
        <f>IF(OR(AND($M$119&lt;$N$11,$M$119&gt;=$N$14),AND($M$119&gt;$N$13,$M$119&lt;=$N$16)),$M$119,"")</f>
      </c>
    </row>
    <row r="120" spans="1:18" ht="12.75">
      <c r="A120">
        <f>IF(ISBLANK(data!N21),"",data!N21)</f>
      </c>
      <c r="C120">
        <v>1.5</v>
      </c>
      <c r="D120" t="e">
        <f>IF(OR($A$120&lt;$B$15,$A$120&gt;$B$17),$A$120,#N/A)</f>
        <v>#NUM!</v>
      </c>
      <c r="E120" t="e">
        <f>IF(OR(AND($A$120&lt;$B$14,$A$120&gt;=$B$15),AND($A$120&gt;$B$16,$A$120&lt;=$B$17)),$A$120,#N/A)</f>
        <v>#NUM!</v>
      </c>
      <c r="F120" t="e">
        <f>IF(OR(AND($A$120&lt;$B$11,$A$120&gt;=$B$14),AND($A$120&gt;$B$13,$A$120&lt;=$B$16)),$A$120,"")</f>
        <v>#NUM!</v>
      </c>
      <c r="M120">
        <f>IF(ISBLANK(data!G22),"",data!G22)</f>
        <v>0.07571182173569638</v>
      </c>
      <c r="O120">
        <v>1.5</v>
      </c>
      <c r="P120" t="e">
        <f>IF(OR($M$120&lt;$N$15,$M$120&gt;$N$17),$M$120,#N/A)</f>
        <v>#N/A</v>
      </c>
      <c r="Q120" t="e">
        <f>IF(OR(AND($M$120&lt;$N$14,$M$120&gt;=$N$15),AND($M$120&gt;$N$16,$M$120&lt;=$N$17)),$M$120,#N/A)</f>
        <v>#N/A</v>
      </c>
      <c r="R120">
        <f>IF(OR(AND($M$120&lt;$N$11,$M$120&gt;=$N$14),AND($M$120&gt;$N$13,$M$120&lt;=$N$16)),$M$120,"")</f>
      </c>
    </row>
    <row r="121" spans="1:18" ht="12.75">
      <c r="A121">
        <f>IF(ISBLANK(data!N22),"",data!N22)</f>
      </c>
      <c r="C121">
        <v>1.5</v>
      </c>
      <c r="D121" t="e">
        <f>IF(OR($A$121&lt;$B$15,$A$121&gt;$B$17),$A$121,#N/A)</f>
        <v>#NUM!</v>
      </c>
      <c r="E121" t="e">
        <f>IF(OR(AND($A$121&lt;$B$14,$A$121&gt;=$B$15),AND($A$121&gt;$B$16,$A$121&lt;=$B$17)),$A$121,#N/A)</f>
        <v>#NUM!</v>
      </c>
      <c r="F121" t="e">
        <f>IF(OR(AND($A$121&lt;$B$11,$A$121&gt;=$B$14),AND($A$121&gt;$B$13,$A$121&lt;=$B$16)),$A$121,"")</f>
        <v>#NUM!</v>
      </c>
      <c r="M121">
        <f>IF(ISBLANK(data!G23),"",data!G23)</f>
        <v>-0.0317486983145803</v>
      </c>
      <c r="O121">
        <v>1.5</v>
      </c>
      <c r="P121" t="e">
        <f>IF(OR($M$121&lt;$N$15,$M$121&gt;$N$17),$M$121,#N/A)</f>
        <v>#N/A</v>
      </c>
      <c r="Q121" t="e">
        <f>IF(OR(AND($M$121&lt;$N$14,$M$121&gt;=$N$15),AND($M$121&gt;$N$16,$M$121&lt;=$N$17)),$M$121,#N/A)</f>
        <v>#N/A</v>
      </c>
      <c r="R121">
        <f>IF(OR(AND($M$121&lt;$N$11,$M$121&gt;=$N$14),AND($M$121&gt;$N$13,$M$121&lt;=$N$16)),$M$121,"")</f>
        <v>-0.0317486983145803</v>
      </c>
    </row>
    <row r="122" spans="1:18" ht="12.75">
      <c r="A122">
        <f>IF(ISBLANK(data!N23),"",data!N23)</f>
      </c>
      <c r="C122">
        <v>1.5</v>
      </c>
      <c r="D122" t="e">
        <f>IF(OR($A$122&lt;$B$15,$A$122&gt;$B$17),$A$122,#N/A)</f>
        <v>#NUM!</v>
      </c>
      <c r="E122" t="e">
        <f>IF(OR(AND($A$122&lt;$B$14,$A$122&gt;=$B$15),AND($A$122&gt;$B$16,$A$122&lt;=$B$17)),$A$122,#N/A)</f>
        <v>#NUM!</v>
      </c>
      <c r="F122" t="e">
        <f>IF(OR(AND($A$122&lt;$B$11,$A$122&gt;=$B$14),AND($A$122&gt;$B$13,$A$122&lt;=$B$16)),$A$122,"")</f>
        <v>#NUM!</v>
      </c>
      <c r="M122">
        <f>IF(ISBLANK(data!G24),"",data!G24)</f>
        <v>0.04726108994508879</v>
      </c>
      <c r="O122">
        <v>1.5</v>
      </c>
      <c r="P122" t="e">
        <f>IF(OR($M$122&lt;$N$15,$M$122&gt;$N$17),$M$122,#N/A)</f>
        <v>#N/A</v>
      </c>
      <c r="Q122" t="e">
        <f>IF(OR(AND($M$122&lt;$N$14,$M$122&gt;=$N$15),AND($M$122&gt;$N$16,$M$122&lt;=$N$17)),$M$122,#N/A)</f>
        <v>#N/A</v>
      </c>
      <c r="R122">
        <f>IF(OR(AND($M$122&lt;$N$11,$M$122&gt;=$N$14),AND($M$122&gt;$N$13,$M$122&lt;=$N$16)),$M$122,"")</f>
      </c>
    </row>
    <row r="123" spans="1:18" ht="12.75">
      <c r="A123">
        <f>IF(ISBLANK(data!N24),"",data!N24)</f>
      </c>
      <c r="C123">
        <v>1.5</v>
      </c>
      <c r="D123" t="e">
        <f>IF(OR($A$123&lt;$B$15,$A$123&gt;$B$17),$A$123,#N/A)</f>
        <v>#NUM!</v>
      </c>
      <c r="E123" t="e">
        <f>IF(OR(AND($A$123&lt;$B$14,$A$123&gt;=$B$15),AND($A$123&gt;$B$16,$A$123&lt;=$B$17)),$A$123,#N/A)</f>
        <v>#NUM!</v>
      </c>
      <c r="F123" t="e">
        <f>IF(OR(AND($A$123&lt;$B$11,$A$123&gt;=$B$14),AND($A$123&gt;$B$13,$A$123&lt;=$B$16)),$A$123,"")</f>
        <v>#NUM!</v>
      </c>
      <c r="M123">
        <f>IF(ISBLANK(data!G25),"",data!G25)</f>
        <v>0.19926291001318458</v>
      </c>
      <c r="O123">
        <v>1.5</v>
      </c>
      <c r="P123" t="e">
        <f>IF(OR($M$123&lt;$N$15,$M$123&gt;$N$17),$M$123,#N/A)</f>
        <v>#N/A</v>
      </c>
      <c r="Q123" t="e">
        <f>IF(OR(AND($M$123&lt;$N$14,$M$123&gt;=$N$15),AND($M$123&gt;$N$16,$M$123&lt;=$N$17)),$M$123,#N/A)</f>
        <v>#N/A</v>
      </c>
      <c r="R123">
        <f>IF(OR(AND($M$123&lt;$N$11,$M$123&gt;=$N$14),AND($M$123&gt;$N$13,$M$123&lt;=$N$16)),$M$123,"")</f>
        <v>0.19926291001318458</v>
      </c>
    </row>
    <row r="124" spans="1:18" ht="12.75">
      <c r="A124">
        <f>IF(ISBLANK(data!N25),"",data!N25)</f>
      </c>
      <c r="C124">
        <v>1.5</v>
      </c>
      <c r="D124" t="e">
        <f>IF(OR($A$124&lt;$B$15,$A$124&gt;$B$17),$A$124,#N/A)</f>
        <v>#NUM!</v>
      </c>
      <c r="E124" t="e">
        <f>IF(OR(AND($A$124&lt;$B$14,$A$124&gt;=$B$15),AND($A$124&gt;$B$16,$A$124&lt;=$B$17)),$A$124,#N/A)</f>
        <v>#NUM!</v>
      </c>
      <c r="F124" t="e">
        <f>IF(OR(AND($A$124&lt;$B$11,$A$124&gt;=$B$14),AND($A$124&gt;$B$13,$A$124&lt;=$B$16)),$A$124,"")</f>
        <v>#NUM!</v>
      </c>
      <c r="M124">
        <f>IF(ISBLANK(data!G26),"",data!G26)</f>
        <v>-0.042925044717033886</v>
      </c>
      <c r="O124">
        <v>1.5</v>
      </c>
      <c r="P124" t="e">
        <f>IF(OR($M$124&lt;$N$15,$M$124&gt;$N$17),$M$124,#N/A)</f>
        <v>#N/A</v>
      </c>
      <c r="Q124" t="e">
        <f>IF(OR(AND($M$124&lt;$N$14,$M$124&gt;=$N$15),AND($M$124&gt;$N$16,$M$124&lt;=$N$17)),$M$124,#N/A)</f>
        <v>#N/A</v>
      </c>
      <c r="R124">
        <f>IF(OR(AND($M$124&lt;$N$11,$M$124&gt;=$N$14),AND($M$124&gt;$N$13,$M$124&lt;=$N$16)),$M$124,"")</f>
        <v>-0.042925044717033886</v>
      </c>
    </row>
    <row r="125" spans="1:18" ht="12.75">
      <c r="A125">
        <f>IF(ISBLANK(data!N26),"",data!N26)</f>
      </c>
      <c r="C125">
        <v>1.5</v>
      </c>
      <c r="D125" t="e">
        <f>IF(OR($A$125&lt;$B$15,$A$125&gt;$B$17),$A$125,#N/A)</f>
        <v>#NUM!</v>
      </c>
      <c r="E125" t="e">
        <f>IF(OR(AND($A$125&lt;$B$14,$A$125&gt;=$B$15),AND($A$125&gt;$B$16,$A$125&lt;=$B$17)),$A$125,#N/A)</f>
        <v>#NUM!</v>
      </c>
      <c r="F125" t="e">
        <f>IF(OR(AND($A$125&lt;$B$11,$A$125&gt;=$B$14),AND($A$125&gt;$B$13,$A$125&lt;=$B$16)),$A$125,"")</f>
        <v>#NUM!</v>
      </c>
      <c r="M125">
        <f>IF(ISBLANK(data!G27),"",data!G27)</f>
        <v>-0.12107793155323604</v>
      </c>
      <c r="O125">
        <v>1.5</v>
      </c>
      <c r="P125" t="e">
        <f>IF(OR($M$125&lt;$N$15,$M$125&gt;$N$17),$M$125,#N/A)</f>
        <v>#N/A</v>
      </c>
      <c r="Q125" t="e">
        <f>IF(OR(AND($M$125&lt;$N$14,$M$125&gt;=$N$15),AND($M$125&gt;$N$16,$M$125&lt;=$N$17)),$M$125,#N/A)</f>
        <v>#N/A</v>
      </c>
      <c r="R125">
        <f>IF(OR(AND($M$125&lt;$N$11,$M$125&gt;=$N$14),AND($M$125&gt;$N$13,$M$125&lt;=$N$16)),$M$125,"")</f>
        <v>-0.12107793155323604</v>
      </c>
    </row>
    <row r="126" spans="1:18" ht="12.75">
      <c r="A126">
        <f>IF(ISBLANK(data!N27),"",data!N27)</f>
      </c>
      <c r="C126">
        <v>1.5</v>
      </c>
      <c r="D126" t="e">
        <f>IF(OR($A$126&lt;$B$15,$A$126&gt;$B$17),$A$126,#N/A)</f>
        <v>#NUM!</v>
      </c>
      <c r="E126" t="e">
        <f>IF(OR(AND($A$126&lt;$B$14,$A$126&gt;=$B$15),AND($A$126&gt;$B$16,$A$126&lt;=$B$17)),$A$126,#N/A)</f>
        <v>#NUM!</v>
      </c>
      <c r="F126" t="e">
        <f>IF(OR(AND($A$126&lt;$B$11,$A$126&gt;=$B$14),AND($A$126&gt;$B$13,$A$126&lt;=$B$16)),$A$126,"")</f>
        <v>#NUM!</v>
      </c>
      <c r="M126">
        <f>IF(ISBLANK(data!G28),"",data!G28)</f>
        <v>0.13846967426510512</v>
      </c>
      <c r="O126">
        <v>1.5</v>
      </c>
      <c r="P126" t="e">
        <f>IF(OR($M$126&lt;$N$15,$M$126&gt;$N$17),$M$126,#N/A)</f>
        <v>#N/A</v>
      </c>
      <c r="Q126" t="e">
        <f>IF(OR(AND($M$126&lt;$N$14,$M$126&gt;=$N$15),AND($M$126&gt;$N$16,$M$126&lt;=$N$17)),$M$126,#N/A)</f>
        <v>#N/A</v>
      </c>
      <c r="R126">
        <f>IF(OR(AND($M$126&lt;$N$11,$M$126&gt;=$N$14),AND($M$126&gt;$N$13,$M$126&lt;=$N$16)),$M$126,"")</f>
        <v>0.13846967426510512</v>
      </c>
    </row>
    <row r="127" spans="1:18" ht="12.75">
      <c r="A127">
        <f>IF(ISBLANK(data!N28),"",data!N28)</f>
      </c>
      <c r="C127">
        <v>1.5</v>
      </c>
      <c r="D127" t="e">
        <f>IF(OR($A$127&lt;$B$15,$A$127&gt;$B$17),$A$127,#N/A)</f>
        <v>#NUM!</v>
      </c>
      <c r="E127" t="e">
        <f>IF(OR(AND($A$127&lt;$B$14,$A$127&gt;=$B$15),AND($A$127&gt;$B$16,$A$127&lt;=$B$17)),$A$127,#N/A)</f>
        <v>#NUM!</v>
      </c>
      <c r="F127" t="e">
        <f>IF(OR(AND($A$127&lt;$B$11,$A$127&gt;=$B$14),AND($A$127&gt;$B$13,$A$127&lt;=$B$16)),$A$127,"")</f>
        <v>#NUM!</v>
      </c>
      <c r="M127">
        <f>IF(ISBLANK(data!G29),"",data!G29)</f>
        <v>-0.026202372394024072</v>
      </c>
      <c r="O127">
        <v>1.5</v>
      </c>
      <c r="P127" t="e">
        <f>IF(OR($M$127&lt;$N$15,$M$127&gt;$N$17),$M$127,#N/A)</f>
        <v>#N/A</v>
      </c>
      <c r="Q127" t="e">
        <f>IF(OR(AND($M$127&lt;$N$14,$M$127&gt;=$N$15),AND($M$127&gt;$N$16,$M$127&lt;=$N$17)),$M$127,#N/A)</f>
        <v>#N/A</v>
      </c>
      <c r="R127">
        <f>IF(OR(AND($M$127&lt;$N$11,$M$127&gt;=$N$14),AND($M$127&gt;$N$13,$M$127&lt;=$N$16)),$M$127,"")</f>
        <v>-0.026202372394024072</v>
      </c>
    </row>
    <row r="128" spans="1:18" ht="12.75">
      <c r="A128">
        <f>IF(ISBLANK(data!N29),"",data!N29)</f>
      </c>
      <c r="C128">
        <v>1.5</v>
      </c>
      <c r="D128" t="e">
        <f>IF(OR($A$128&lt;$B$15,$A$128&gt;$B$17),$A$128,#N/A)</f>
        <v>#NUM!</v>
      </c>
      <c r="E128" t="e">
        <f>IF(OR(AND($A$128&lt;$B$14,$A$128&gt;=$B$15),AND($A$128&gt;$B$16,$A$128&lt;=$B$17)),$A$128,#N/A)</f>
        <v>#NUM!</v>
      </c>
      <c r="F128" t="e">
        <f>IF(OR(AND($A$128&lt;$B$11,$A$128&gt;=$B$14),AND($A$128&gt;$B$13,$A$128&lt;=$B$16)),$A$128,"")</f>
        <v>#NUM!</v>
      </c>
      <c r="M128">
        <f>IF(ISBLANK(data!G30),"",data!G30)</f>
        <v>-0.20288987184446508</v>
      </c>
      <c r="O128">
        <v>1.5</v>
      </c>
      <c r="P128" t="e">
        <f>IF(OR($M$128&lt;$N$15,$M$128&gt;$N$17),$M$128,#N/A)</f>
        <v>#N/A</v>
      </c>
      <c r="Q128" t="e">
        <f>IF(OR(AND($M$128&lt;$N$14,$M$128&gt;=$N$15),AND($M$128&gt;$N$16,$M$128&lt;=$N$17)),$M$128,#N/A)</f>
        <v>#N/A</v>
      </c>
      <c r="R128">
        <f>IF(OR(AND($M$128&lt;$N$11,$M$128&gt;=$N$14),AND($M$128&gt;$N$13,$M$128&lt;=$N$16)),$M$128,"")</f>
        <v>-0.20288987184446508</v>
      </c>
    </row>
    <row r="129" spans="1:18" ht="12.75">
      <c r="A129">
        <f>IF(ISBLANK(data!N30),"",data!N30)</f>
      </c>
      <c r="C129">
        <v>1.5</v>
      </c>
      <c r="D129" t="e">
        <f>IF(OR($A$129&lt;$B$15,$A$129&gt;$B$17),$A$129,#N/A)</f>
        <v>#NUM!</v>
      </c>
      <c r="E129" t="e">
        <f>IF(OR(AND($A$129&lt;$B$14,$A$129&gt;=$B$15),AND($A$129&gt;$B$16,$A$129&lt;=$B$17)),$A$129,#N/A)</f>
        <v>#NUM!</v>
      </c>
      <c r="F129" t="e">
        <f>IF(OR(AND($A$129&lt;$B$11,$A$129&gt;=$B$14),AND($A$129&gt;$B$13,$A$129&lt;=$B$16)),$A$129,"")</f>
        <v>#NUM!</v>
      </c>
      <c r="M129">
        <f>IF(ISBLANK(data!G31),"",data!G31)</f>
        <v>0.1622448528135667</v>
      </c>
      <c r="O129">
        <v>1.5</v>
      </c>
      <c r="P129" t="e">
        <f>IF(OR($M$129&lt;$N$15,$M$129&gt;$N$17),$M$129,#N/A)</f>
        <v>#N/A</v>
      </c>
      <c r="Q129" t="e">
        <f>IF(OR(AND($M$129&lt;$N$14,$M$129&gt;=$N$15),AND($M$129&gt;$N$16,$M$129&lt;=$N$17)),$M$129,#N/A)</f>
        <v>#N/A</v>
      </c>
      <c r="R129">
        <f>IF(OR(AND($M$129&lt;$N$11,$M$129&gt;=$N$14),AND($M$129&gt;$N$13,$M$129&lt;=$N$16)),$M$129,"")</f>
        <v>0.1622448528135667</v>
      </c>
    </row>
    <row r="130" spans="1:18" ht="12.75">
      <c r="A130">
        <f>IF(ISBLANK(data!N31),"",data!N31)</f>
      </c>
      <c r="C130">
        <v>1.5</v>
      </c>
      <c r="D130" t="e">
        <f>IF(OR($A$130&lt;$B$15,$A$130&gt;$B$17),$A$130,#N/A)</f>
        <v>#NUM!</v>
      </c>
      <c r="E130" t="e">
        <f>IF(OR(AND($A$130&lt;$B$14,$A$130&gt;=$B$15),AND($A$130&gt;$B$16,$A$130&lt;=$B$17)),$A$130,#N/A)</f>
        <v>#NUM!</v>
      </c>
      <c r="F130" t="e">
        <f>IF(OR(AND($A$130&lt;$B$11,$A$130&gt;=$B$14),AND($A$130&gt;$B$13,$A$130&lt;=$B$16)),$A$130,"")</f>
        <v>#NUM!</v>
      </c>
      <c r="M130">
        <f>IF(ISBLANK(data!G32),"",data!G32)</f>
        <v>-0.011583971484000397</v>
      </c>
      <c r="O130">
        <v>1.5</v>
      </c>
      <c r="P130" t="e">
        <f>IF(OR($M$130&lt;$N$15,$M$130&gt;$N$17),$M$130,#N/A)</f>
        <v>#N/A</v>
      </c>
      <c r="Q130" t="e">
        <f>IF(OR(AND($M$130&lt;$N$14,$M$130&gt;=$N$15),AND($M$130&gt;$N$16,$M$130&lt;=$N$17)),$M$130,#N/A)</f>
        <v>#N/A</v>
      </c>
      <c r="R130">
        <f>IF(OR(AND($M$130&lt;$N$11,$M$130&gt;=$N$14),AND($M$130&gt;$N$13,$M$130&lt;=$N$16)),$M$130,"")</f>
      </c>
    </row>
    <row r="131" spans="1:18" ht="12.75">
      <c r="A131">
        <f>IF(ISBLANK(data!N32),"",data!N32)</f>
      </c>
      <c r="C131">
        <v>1.5</v>
      </c>
      <c r="D131" t="e">
        <f>IF(OR($A$131&lt;$B$15,$A$131&gt;$B$17),$A$131,#N/A)</f>
        <v>#NUM!</v>
      </c>
      <c r="E131" t="e">
        <f>IF(OR(AND($A$131&lt;$B$14,$A$131&gt;=$B$15),AND($A$131&gt;$B$16,$A$131&lt;=$B$17)),$A$131,#N/A)</f>
        <v>#NUM!</v>
      </c>
      <c r="F131" t="e">
        <f>IF(OR(AND($A$131&lt;$B$11,$A$131&gt;=$B$14),AND($A$131&gt;$B$13,$A$131&lt;=$B$16)),$A$131,"")</f>
        <v>#NUM!</v>
      </c>
      <c r="M131">
        <f>IF(ISBLANK(data!G33),"",data!G33)</f>
        <v>0.02532153759497447</v>
      </c>
      <c r="O131">
        <v>1.5</v>
      </c>
      <c r="P131" t="e">
        <f>IF(OR($M$131&lt;$N$15,$M$131&gt;$N$17),$M$131,#N/A)</f>
        <v>#N/A</v>
      </c>
      <c r="Q131" t="e">
        <f>IF(OR(AND($M$131&lt;$N$14,$M$131&gt;=$N$15),AND($M$131&gt;$N$16,$M$131&lt;=$N$17)),$M$131,#N/A)</f>
        <v>#N/A</v>
      </c>
      <c r="R131">
        <f>IF(OR(AND($M$131&lt;$N$11,$M$131&gt;=$N$14),AND($M$131&gt;$N$13,$M$131&lt;=$N$16)),$M$131,"")</f>
      </c>
    </row>
    <row r="132" spans="1:18" ht="12.75">
      <c r="A132">
        <f>IF(ISBLANK(data!N33),"",data!N33)</f>
      </c>
      <c r="C132">
        <v>1.5</v>
      </c>
      <c r="D132" t="e">
        <f>IF(OR($A$132&lt;$B$15,$A$132&gt;$B$17),$A$132,#N/A)</f>
        <v>#NUM!</v>
      </c>
      <c r="E132" t="e">
        <f>IF(OR(AND($A$132&lt;$B$14,$A$132&gt;=$B$15),AND($A$132&gt;$B$16,$A$132&lt;=$B$17)),$A$132,#N/A)</f>
        <v>#NUM!</v>
      </c>
      <c r="F132" t="e">
        <f>IF(OR(AND($A$132&lt;$B$11,$A$132&gt;=$B$14),AND($A$132&gt;$B$13,$A$132&lt;=$B$16)),$A$132,"")</f>
        <v>#NUM!</v>
      </c>
      <c r="M132">
        <f>IF(ISBLANK(data!G34),"",data!G34)</f>
        <v>-0.13613217432458005</v>
      </c>
      <c r="O132">
        <v>1.5</v>
      </c>
      <c r="P132" t="e">
        <f>IF(OR($M$132&lt;$N$15,$M$132&gt;$N$17),$M$132,#N/A)</f>
        <v>#N/A</v>
      </c>
      <c r="Q132" t="e">
        <f>IF(OR(AND($M$132&lt;$N$14,$M$132&gt;=$N$15),AND($M$132&gt;$N$16,$M$132&lt;=$N$17)),$M$132,#N/A)</f>
        <v>#N/A</v>
      </c>
      <c r="R132">
        <f>IF(OR(AND($M$132&lt;$N$11,$M$132&gt;=$N$14),AND($M$132&gt;$N$13,$M$132&lt;=$N$16)),$M$132,"")</f>
        <v>-0.13613217432458005</v>
      </c>
    </row>
    <row r="133" spans="1:18" ht="12.75">
      <c r="A133">
        <f>IF(ISBLANK(data!N34),"",data!N34)</f>
      </c>
      <c r="C133">
        <v>1.5</v>
      </c>
      <c r="D133" t="e">
        <f>IF(OR($A$133&lt;$B$15,$A$133&gt;$B$17),$A$133,#N/A)</f>
        <v>#NUM!</v>
      </c>
      <c r="E133" t="e">
        <f>IF(OR(AND($A$133&lt;$B$14,$A$133&gt;=$B$15),AND($A$133&gt;$B$16,$A$133&lt;=$B$17)),$A$133,#N/A)</f>
        <v>#NUM!</v>
      </c>
      <c r="F133" t="e">
        <f>IF(OR(AND($A$133&lt;$B$11,$A$133&gt;=$B$14),AND($A$133&gt;$B$13,$A$133&lt;=$B$16)),$A$133,"")</f>
        <v>#NUM!</v>
      </c>
      <c r="M133">
        <f>IF(ISBLANK(data!G35),"",data!G35)</f>
        <v>-0.005213567052887434</v>
      </c>
      <c r="O133">
        <v>1.5</v>
      </c>
      <c r="P133" t="e">
        <f>IF(OR($M$133&lt;$N$15,$M$133&gt;$N$17),$M$133,#N/A)</f>
        <v>#N/A</v>
      </c>
      <c r="Q133" t="e">
        <f>IF(OR(AND($M$133&lt;$N$14,$M$133&gt;=$N$15),AND($M$133&gt;$N$16,$M$133&lt;=$N$17)),$M$133,#N/A)</f>
        <v>#N/A</v>
      </c>
      <c r="R133">
        <f>IF(OR(AND($M$133&lt;$N$11,$M$133&gt;=$N$14),AND($M$133&gt;$N$13,$M$133&lt;=$N$16)),$M$133,"")</f>
      </c>
    </row>
    <row r="134" spans="1:18" ht="12.75">
      <c r="A134">
        <f>IF(ISBLANK(data!N35),"",data!N35)</f>
      </c>
      <c r="C134">
        <v>1.5</v>
      </c>
      <c r="D134" t="e">
        <f>IF(OR($A$134&lt;$B$15,$A$134&gt;$B$17),$A$134,#N/A)</f>
        <v>#NUM!</v>
      </c>
      <c r="E134" t="e">
        <f>IF(OR(AND($A$134&lt;$B$14,$A$134&gt;=$B$15),AND($A$134&gt;$B$16,$A$134&lt;=$B$17)),$A$134,#N/A)</f>
        <v>#NUM!</v>
      </c>
      <c r="F134" t="e">
        <f>IF(OR(AND($A$134&lt;$B$11,$A$134&gt;=$B$14),AND($A$134&gt;$B$13,$A$134&lt;=$B$16)),$A$134,"")</f>
        <v>#NUM!</v>
      </c>
      <c r="M134">
        <f>IF(ISBLANK(data!G36),"",data!G36)</f>
        <v>0.005213567052887547</v>
      </c>
      <c r="O134">
        <v>1.5</v>
      </c>
      <c r="P134" t="e">
        <f>IF(OR($M$134&lt;$N$15,$M$134&gt;$N$17),$M$134,#N/A)</f>
        <v>#N/A</v>
      </c>
      <c r="Q134" t="e">
        <f>IF(OR(AND($M$134&lt;$N$14,$M$134&gt;=$N$15),AND($M$134&gt;$N$16,$M$134&lt;=$N$17)),$M$134,#N/A)</f>
        <v>#N/A</v>
      </c>
      <c r="R134">
        <f>IF(OR(AND($M$134&lt;$N$11,$M$134&gt;=$N$14),AND($M$134&gt;$N$13,$M$134&lt;=$N$16)),$M$134,"")</f>
      </c>
    </row>
    <row r="135" spans="1:18" ht="12.75">
      <c r="A135">
        <f>IF(ISBLANK(data!N36),"",data!N36)</f>
      </c>
      <c r="C135">
        <v>1.5</v>
      </c>
      <c r="D135" t="e">
        <f>IF(OR($A$135&lt;$B$15,$A$135&gt;$B$17),$A$135,#N/A)</f>
        <v>#NUM!</v>
      </c>
      <c r="E135" t="e">
        <f>IF(OR(AND($A$135&lt;$B$14,$A$135&gt;=$B$15),AND($A$135&gt;$B$16,$A$135&lt;=$B$17)),$A$135,#N/A)</f>
        <v>#NUM!</v>
      </c>
      <c r="F135" t="e">
        <f>IF(OR(AND($A$135&lt;$B$11,$A$135&gt;=$B$14),AND($A$135&gt;$B$13,$A$135&lt;=$B$16)),$A$135,"")</f>
        <v>#NUM!</v>
      </c>
      <c r="M135">
        <f>IF(ISBLANK(data!G37),"",data!G37)</f>
        <v>-0.02105340919783238</v>
      </c>
      <c r="O135">
        <v>1.5</v>
      </c>
      <c r="P135" t="e">
        <f>IF(OR($M$135&lt;$N$15,$M$135&gt;$N$17),$M$135,#N/A)</f>
        <v>#N/A</v>
      </c>
      <c r="Q135" t="e">
        <f>IF(OR(AND($M$135&lt;$N$14,$M$135&gt;=$N$15),AND($M$135&gt;$N$16,$M$135&lt;=$N$17)),$M$135,#N/A)</f>
        <v>#N/A</v>
      </c>
      <c r="R135">
        <f>IF(OR(AND($M$135&lt;$N$11,$M$135&gt;=$N$14),AND($M$135&gt;$N$13,$M$135&lt;=$N$16)),$M$135,"")</f>
      </c>
    </row>
    <row r="136" spans="1:18" ht="12.75">
      <c r="A136">
        <f>IF(ISBLANK(data!N37),"",data!N37)</f>
      </c>
      <c r="C136">
        <v>1.5</v>
      </c>
      <c r="D136" t="e">
        <f>IF(OR($A$136&lt;$B$15,$A$136&gt;$B$17),$A$136,#N/A)</f>
        <v>#NUM!</v>
      </c>
      <c r="E136" t="e">
        <f>IF(OR(AND($A$136&lt;$B$14,$A$136&gt;=$B$15),AND($A$136&gt;$B$16,$A$136&lt;=$B$17)),$A$136,#N/A)</f>
        <v>#NUM!</v>
      </c>
      <c r="F136" t="e">
        <f>IF(OR(AND($A$136&lt;$B$11,$A$136&gt;=$B$14),AND($A$136&gt;$B$13,$A$136&lt;=$B$16)),$A$136,"")</f>
        <v>#NUM!</v>
      </c>
      <c r="M136">
        <f>IF(ISBLANK(data!G38),"",data!G38)</f>
        <v>0.21244482133132703</v>
      </c>
      <c r="O136">
        <v>1.5</v>
      </c>
      <c r="P136" t="e">
        <f>IF(OR($M$136&lt;$N$15,$M$136&gt;$N$17),$M$136,#N/A)</f>
        <v>#N/A</v>
      </c>
      <c r="Q136" t="e">
        <f>IF(OR(AND($M$136&lt;$N$14,$M$136&gt;=$N$15),AND($M$136&gt;$N$16,$M$136&lt;=$N$17)),$M$136,#N/A)</f>
        <v>#N/A</v>
      </c>
      <c r="R136">
        <f>IF(OR(AND($M$136&lt;$N$11,$M$136&gt;=$N$14),AND($M$136&gt;$N$13,$M$136&lt;=$N$16)),$M$136,"")</f>
        <v>0.21244482133132703</v>
      </c>
    </row>
    <row r="137" spans="1:18" ht="12.75">
      <c r="A137">
        <f>IF(ISBLANK(data!N38),"",data!N38)</f>
      </c>
      <c r="C137">
        <v>1.5</v>
      </c>
      <c r="D137" t="e">
        <f>IF(OR($A$137&lt;$B$15,$A$137&gt;$B$17),$A$137,#N/A)</f>
        <v>#NUM!</v>
      </c>
      <c r="E137" t="e">
        <f>IF(OR(AND($A$137&lt;$B$14,$A$137&gt;=$B$15),AND($A$137&gt;$B$16,$A$137&lt;=$B$17)),$A$137,#N/A)</f>
        <v>#NUM!</v>
      </c>
      <c r="F137" t="e">
        <f>IF(OR(AND($A$137&lt;$B$11,$A$137&gt;=$B$14),AND($A$137&gt;$B$13,$A$137&lt;=$B$16)),$A$137,"")</f>
        <v>#NUM!</v>
      </c>
      <c r="M137">
        <f>IF(ISBLANK(data!G39),"",data!G39)</f>
        <v>0.20359678205652781</v>
      </c>
      <c r="O137">
        <v>1.5</v>
      </c>
      <c r="P137" t="e">
        <f>IF(OR($M$137&lt;$N$15,$M$137&gt;$N$17),$M$137,#N/A)</f>
        <v>#N/A</v>
      </c>
      <c r="Q137" t="e">
        <f>IF(OR(AND($M$137&lt;$N$14,$M$137&gt;=$N$15),AND($M$137&gt;$N$16,$M$137&lt;=$N$17)),$M$137,#N/A)</f>
        <v>#N/A</v>
      </c>
      <c r="R137">
        <f>IF(OR(AND($M$137&lt;$N$11,$M$137&gt;=$N$14),AND($M$137&gt;$N$13,$M$137&lt;=$N$16)),$M$137,"")</f>
        <v>0.20359678205652781</v>
      </c>
    </row>
    <row r="138" spans="1:18" ht="12.75">
      <c r="A138">
        <f>IF(ISBLANK(data!N39),"",data!N39)</f>
      </c>
      <c r="C138">
        <v>1.5</v>
      </c>
      <c r="D138" t="e">
        <f>IF(OR($A$138&lt;$B$15,$A$138&gt;$B$17),$A$138,#N/A)</f>
        <v>#NUM!</v>
      </c>
      <c r="E138" t="e">
        <f>IF(OR(AND($A$138&lt;$B$14,$A$138&gt;=$B$15),AND($A$138&gt;$B$16,$A$138&lt;=$B$17)),$A$138,#N/A)</f>
        <v>#NUM!</v>
      </c>
      <c r="F138" t="e">
        <f>IF(OR(AND($A$138&lt;$B$11,$A$138&gt;=$B$14),AND($A$138&gt;$B$13,$A$138&lt;=$B$16)),$A$138,"")</f>
        <v>#NUM!</v>
      </c>
      <c r="M138">
        <f>IF(ISBLANK(data!G40),"",data!G40)</f>
        <v>0.04796535832913346</v>
      </c>
      <c r="O138">
        <v>1.5</v>
      </c>
      <c r="P138" t="e">
        <f>IF(OR($M$138&lt;$N$15,$M$138&gt;$N$17),$M$138,#N/A)</f>
        <v>#N/A</v>
      </c>
      <c r="Q138" t="e">
        <f>IF(OR(AND($M$138&lt;$N$14,$M$138&gt;=$N$15),AND($M$138&gt;$N$16,$M$138&lt;=$N$17)),$M$138,#N/A)</f>
        <v>#N/A</v>
      </c>
      <c r="R138">
        <f>IF(OR(AND($M$138&lt;$N$11,$M$138&gt;=$N$14),AND($M$138&gt;$N$13,$M$138&lt;=$N$16)),$M$138,"")</f>
      </c>
    </row>
    <row r="139" spans="1:18" ht="12.75">
      <c r="A139">
        <f>IF(ISBLANK(data!N40),"",data!N40)</f>
      </c>
      <c r="C139">
        <v>1.5</v>
      </c>
      <c r="D139" t="e">
        <f>IF(OR($A$139&lt;$B$15,$A$139&gt;$B$17),$A$139,#N/A)</f>
        <v>#NUM!</v>
      </c>
      <c r="E139" t="e">
        <f>IF(OR(AND($A$139&lt;$B$14,$A$139&gt;=$B$15),AND($A$139&gt;$B$16,$A$139&lt;=$B$17)),$A$139,#N/A)</f>
        <v>#NUM!</v>
      </c>
      <c r="F139" t="e">
        <f>IF(OR(AND($A$139&lt;$B$11,$A$139&gt;=$B$14),AND($A$139&gt;$B$13,$A$139&lt;=$B$16)),$A$139,"")</f>
        <v>#NUM!</v>
      </c>
      <c r="M139">
        <f>IF(ISBLANK(data!G41),"",data!G41)</f>
        <v>0.06787207124683467</v>
      </c>
      <c r="O139">
        <v>1.5</v>
      </c>
      <c r="P139" t="e">
        <f>IF(OR($M$139&lt;$N$15,$M$139&gt;$N$17),$M$139,#N/A)</f>
        <v>#N/A</v>
      </c>
      <c r="Q139" t="e">
        <f>IF(OR(AND($M$139&lt;$N$14,$M$139&gt;=$N$15),AND($M$139&gt;$N$16,$M$139&lt;=$N$17)),$M$139,#N/A)</f>
        <v>#N/A</v>
      </c>
      <c r="R139">
        <f>IF(OR(AND($M$139&lt;$N$11,$M$139&gt;=$N$14),AND($M$139&gt;$N$13,$M$139&lt;=$N$16)),$M$139,"")</f>
      </c>
    </row>
    <row r="140" spans="1:18" ht="12.75">
      <c r="A140">
        <f>IF(ISBLANK(data!N41),"",data!N41)</f>
      </c>
      <c r="C140">
        <v>1.5</v>
      </c>
      <c r="D140" t="e">
        <f>IF(OR($A$140&lt;$B$15,$A$140&gt;$B$17),$A$140,#N/A)</f>
        <v>#NUM!</v>
      </c>
      <c r="E140" t="e">
        <f>IF(OR(AND($A$140&lt;$B$14,$A$140&gt;=$B$15),AND($A$140&gt;$B$16,$A$140&lt;=$B$17)),$A$140,#N/A)</f>
        <v>#NUM!</v>
      </c>
      <c r="F140" t="e">
        <f>IF(OR(AND($A$140&lt;$B$11,$A$140&gt;=$B$14),AND($A$140&gt;$B$13,$A$140&lt;=$B$16)),$A$140,"")</f>
        <v>#NUM!</v>
      </c>
      <c r="M140">
        <f>IF(ISBLANK(data!G42),"",data!G42)</f>
        <v>-0.05458290977029228</v>
      </c>
      <c r="O140">
        <v>1.5</v>
      </c>
      <c r="P140" t="e">
        <f>IF(OR($M$140&lt;$N$15,$M$140&gt;$N$17),$M$140,#N/A)</f>
        <v>#N/A</v>
      </c>
      <c r="Q140" t="e">
        <f>IF(OR(AND($M$140&lt;$N$14,$M$140&gt;=$N$15),AND($M$140&gt;$N$16,$M$140&lt;=$N$17)),$M$140,#N/A)</f>
        <v>#N/A</v>
      </c>
      <c r="R140">
        <f>IF(OR(AND($M$140&lt;$N$11,$M$140&gt;=$N$14),AND($M$140&gt;$N$13,$M$140&lt;=$N$16)),$M$140,"")</f>
        <v>-0.05458290977029228</v>
      </c>
    </row>
    <row r="141" spans="1:18" ht="12.75">
      <c r="A141">
        <f>IF(ISBLANK(data!N42),"",data!N42)</f>
      </c>
      <c r="C141">
        <v>1.5</v>
      </c>
      <c r="D141" t="e">
        <f>IF(OR($A$141&lt;$B$15,$A$141&gt;$B$17),$A$141,#N/A)</f>
        <v>#NUM!</v>
      </c>
      <c r="E141" t="e">
        <f>IF(OR(AND($A$141&lt;$B$14,$A$141&gt;=$B$15),AND($A$141&gt;$B$16,$A$141&lt;=$B$17)),$A$141,#N/A)</f>
        <v>#NUM!</v>
      </c>
      <c r="F141" t="e">
        <f>IF(OR(AND($A$141&lt;$B$11,$A$141&gt;=$B$14),AND($A$141&gt;$B$13,$A$141&lt;=$B$16)),$A$141,"")</f>
        <v>#NUM!</v>
      </c>
      <c r="M141">
        <f>IF(ISBLANK(data!G43),"",data!G43)</f>
        <v>0.03565489988477343</v>
      </c>
      <c r="O141">
        <v>1.5</v>
      </c>
      <c r="P141" t="e">
        <f>IF(OR($M$141&lt;$N$15,$M$141&gt;$N$17),$M$141,#N/A)</f>
        <v>#N/A</v>
      </c>
      <c r="Q141" t="e">
        <f>IF(OR(AND($M$141&lt;$N$14,$M$141&gt;=$N$15),AND($M$141&gt;$N$16,$M$141&lt;=$N$17)),$M$141,#N/A)</f>
        <v>#N/A</v>
      </c>
      <c r="R141">
        <f>IF(OR(AND($M$141&lt;$N$11,$M$141&gt;=$N$14),AND($M$141&gt;$N$13,$M$141&lt;=$N$16)),$M$141,"")</f>
      </c>
    </row>
    <row r="142" spans="1:18" ht="12.75">
      <c r="A142">
        <f>IF(ISBLANK(data!N43),"",data!N43)</f>
      </c>
      <c r="C142">
        <v>1.5</v>
      </c>
      <c r="D142" t="e">
        <f>IF(OR($A$142&lt;$B$15,$A$142&gt;$B$17),$A$142,#N/A)</f>
        <v>#NUM!</v>
      </c>
      <c r="E142" t="e">
        <f>IF(OR(AND($A$142&lt;$B$14,$A$142&gt;=$B$15),AND($A$142&gt;$B$16,$A$142&lt;=$B$17)),$A$142,#N/A)</f>
        <v>#NUM!</v>
      </c>
      <c r="F142" t="e">
        <f>IF(OR(AND($A$142&lt;$B$11,$A$142&gt;=$B$14),AND($A$142&gt;$B$13,$A$142&lt;=$B$16)),$A$142,"")</f>
        <v>#NUM!</v>
      </c>
      <c r="M142">
        <f>IF(ISBLANK(data!G44),"",data!G44)</f>
        <v>0.0736529095747654</v>
      </c>
      <c r="O142">
        <v>1.5</v>
      </c>
      <c r="P142" t="e">
        <f>IF(OR($M$142&lt;$N$15,$M$142&gt;$N$17),$M$142,#N/A)</f>
        <v>#N/A</v>
      </c>
      <c r="Q142" t="e">
        <f>IF(OR(AND($M$142&lt;$N$14,$M$142&gt;=$N$15),AND($M$142&gt;$N$16,$M$142&lt;=$N$17)),$M$142,#N/A)</f>
        <v>#N/A</v>
      </c>
      <c r="R142">
        <f>IF(OR(AND($M$142&lt;$N$11,$M$142&gt;=$N$14),AND($M$142&gt;$N$13,$M$142&lt;=$N$16)),$M$142,"")</f>
      </c>
    </row>
    <row r="143" spans="1:18" ht="12.75">
      <c r="A143">
        <f>IF(ISBLANK(data!N44),"",data!N44)</f>
      </c>
      <c r="C143">
        <v>1.5</v>
      </c>
      <c r="D143" t="e">
        <f>IF(OR($A$143&lt;$B$15,$A$143&gt;$B$17),$A$143,#N/A)</f>
        <v>#NUM!</v>
      </c>
      <c r="E143" t="e">
        <f>IF(OR(AND($A$143&lt;$B$14,$A$143&gt;=$B$15),AND($A$143&gt;$B$16,$A$143&lt;=$B$17)),$A$143,#N/A)</f>
        <v>#NUM!</v>
      </c>
      <c r="F143" t="e">
        <f>IF(OR(AND($A$143&lt;$B$11,$A$143&gt;=$B$14),AND($A$143&gt;$B$13,$A$143&lt;=$B$16)),$A$143,"")</f>
        <v>#NUM!</v>
      </c>
      <c r="M143">
        <f>IF(ISBLANK(data!G45),"",data!G45)</f>
        <v>-0.005934735519814578</v>
      </c>
      <c r="O143">
        <v>1.5</v>
      </c>
      <c r="P143" t="e">
        <f>IF(OR($M$143&lt;$N$15,$M$143&gt;$N$17),$M$143,#N/A)</f>
        <v>#N/A</v>
      </c>
      <c r="Q143" t="e">
        <f>IF(OR(AND($M$143&lt;$N$14,$M$143&gt;=$N$15),AND($M$143&gt;$N$16,$M$143&lt;=$N$17)),$M$143,#N/A)</f>
        <v>#N/A</v>
      </c>
      <c r="R143">
        <f>IF(OR(AND($M$143&lt;$N$11,$M$143&gt;=$N$14),AND($M$143&gt;$N$13,$M$143&lt;=$N$16)),$M$143,"")</f>
      </c>
    </row>
    <row r="144" spans="1:18" ht="12.75">
      <c r="A144">
        <f>IF(ISBLANK(data!N45),"",data!N45)</f>
      </c>
      <c r="C144">
        <v>1.5</v>
      </c>
      <c r="D144" t="e">
        <f>IF(OR($A$144&lt;$B$15,$A$144&gt;$B$17),$A$144,#N/A)</f>
        <v>#NUM!</v>
      </c>
      <c r="E144" t="e">
        <f>IF(OR(AND($A$144&lt;$B$14,$A$144&gt;=$B$15),AND($A$144&gt;$B$16,$A$144&lt;=$B$17)),$A$144,#N/A)</f>
        <v>#NUM!</v>
      </c>
      <c r="F144" t="e">
        <f>IF(OR(AND($A$144&lt;$B$11,$A$144&gt;=$B$14),AND($A$144&gt;$B$13,$A$144&lt;=$B$16)),$A$144,"")</f>
        <v>#NUM!</v>
      </c>
      <c r="M144">
        <f>IF(ISBLANK(data!G46),"",data!G46)</f>
        <v>-0.2261241794523475</v>
      </c>
      <c r="O144">
        <v>1.5</v>
      </c>
      <c r="P144" t="e">
        <f>IF(OR($M$144&lt;$N$15,$M$144&gt;$N$17),$M$144,#N/A)</f>
        <v>#N/A</v>
      </c>
      <c r="Q144">
        <f>IF(OR(AND($M$144&lt;$N$14,$M$144&gt;=$N$15),AND($M$144&gt;$N$16,$M$144&lt;=$N$17)),$M$144,#N/A)</f>
        <v>-0.2261241794523475</v>
      </c>
      <c r="R144">
        <f>IF(OR(AND($M$144&lt;$N$11,$M$144&gt;=$N$14),AND($M$144&gt;$N$13,$M$144&lt;=$N$16)),$M$144,"")</f>
      </c>
    </row>
    <row r="145" spans="1:18" ht="12.75">
      <c r="A145">
        <f>IF(ISBLANK(data!N46),"",data!N46)</f>
      </c>
      <c r="C145">
        <v>1.5</v>
      </c>
      <c r="D145" t="e">
        <f>IF(OR($A$145&lt;$B$15,$A$145&gt;$B$17),$A$145,#N/A)</f>
        <v>#NUM!</v>
      </c>
      <c r="E145" t="e">
        <f>IF(OR(AND($A$145&lt;$B$14,$A$145&gt;=$B$15),AND($A$145&gt;$B$16,$A$145&lt;=$B$17)),$A$145,#N/A)</f>
        <v>#NUM!</v>
      </c>
      <c r="F145" t="e">
        <f>IF(OR(AND($A$145&lt;$B$11,$A$145&gt;=$B$14),AND($A$145&gt;$B$13,$A$145&lt;=$B$16)),$A$145,"")</f>
        <v>#NUM!</v>
      </c>
      <c r="M145">
        <f>IF(ISBLANK(data!G47),"",data!G47)</f>
        <v>0.050920090427256946</v>
      </c>
      <c r="O145">
        <v>1.5</v>
      </c>
      <c r="P145" t="e">
        <f>IF(OR($M$145&lt;$N$15,$M$145&gt;$N$17),$M$145,#N/A)</f>
        <v>#N/A</v>
      </c>
      <c r="Q145" t="e">
        <f>IF(OR(AND($M$145&lt;$N$14,$M$145&gt;=$N$15),AND($M$145&gt;$N$16,$M$145&lt;=$N$17)),$M$145,#N/A)</f>
        <v>#N/A</v>
      </c>
      <c r="R145">
        <f>IF(OR(AND($M$145&lt;$N$11,$M$145&gt;=$N$14),AND($M$145&gt;$N$13,$M$145&lt;=$N$16)),$M$145,"")</f>
      </c>
    </row>
    <row r="146" spans="1:18" ht="12.75">
      <c r="A146">
        <f>IF(ISBLANK(data!N47),"",data!N47)</f>
      </c>
      <c r="C146">
        <v>1.5</v>
      </c>
      <c r="D146" t="e">
        <f>IF(OR($A$146&lt;$B$15,$A$146&gt;$B$17),$A$146,#N/A)</f>
        <v>#NUM!</v>
      </c>
      <c r="E146" t="e">
        <f>IF(OR(AND($A$146&lt;$B$14,$A$146&gt;=$B$15),AND($A$146&gt;$B$16,$A$146&lt;=$B$17)),$A$146,#N/A)</f>
        <v>#NUM!</v>
      </c>
      <c r="F146" t="e">
        <f>IF(OR(AND($A$146&lt;$B$11,$A$146&gt;=$B$14),AND($A$146&gt;$B$13,$A$146&lt;=$B$16)),$A$146,"")</f>
        <v>#NUM!</v>
      </c>
      <c r="M146">
        <f>IF(ISBLANK(data!G48),"",data!G48)</f>
        <v>0.27966705915226586</v>
      </c>
      <c r="O146">
        <v>1.5</v>
      </c>
      <c r="P146" t="e">
        <f>IF(OR($M$146&lt;$N$15,$M$146&gt;$N$17),$M$146,#N/A)</f>
        <v>#N/A</v>
      </c>
      <c r="Q146" t="e">
        <f>IF(OR(AND($M$146&lt;$N$14,$M$146&gt;=$N$15),AND($M$146&gt;$N$16,$M$146&lt;=$N$17)),$M$146,#N/A)</f>
        <v>#N/A</v>
      </c>
      <c r="R146">
        <f>IF(OR(AND($M$146&lt;$N$11,$M$146&gt;=$N$14),AND($M$146&gt;$N$13,$M$146&lt;=$N$16)),$M$146,"")</f>
        <v>0.27966705915226586</v>
      </c>
    </row>
    <row r="147" spans="1:18" ht="12.75">
      <c r="A147">
        <f>IF(ISBLANK(data!N48),"",data!N48)</f>
      </c>
      <c r="C147">
        <v>1.5</v>
      </c>
      <c r="D147" t="e">
        <f>IF(OR($A$147&lt;$B$15,$A$147&gt;$B$17),$A$147,#N/A)</f>
        <v>#NUM!</v>
      </c>
      <c r="E147" t="e">
        <f>IF(OR(AND($A$147&lt;$B$14,$A$147&gt;=$B$15),AND($A$147&gt;$B$16,$A$147&lt;=$B$17)),$A$147,#N/A)</f>
        <v>#NUM!</v>
      </c>
      <c r="F147" t="e">
        <f>IF(OR(AND($A$147&lt;$B$11,$A$147&gt;=$B$14),AND($A$147&gt;$B$13,$A$147&lt;=$B$16)),$A$147,"")</f>
        <v>#NUM!</v>
      </c>
      <c r="M147">
        <f>IF(ISBLANK(data!G49),"",data!G49)</f>
        <v>0.1514704040100253</v>
      </c>
      <c r="O147">
        <v>1.5</v>
      </c>
      <c r="P147" t="e">
        <f>IF(OR($M$147&lt;$N$15,$M$147&gt;$N$17),$M$147,#N/A)</f>
        <v>#N/A</v>
      </c>
      <c r="Q147" t="e">
        <f>IF(OR(AND($M$147&lt;$N$14,$M$147&gt;=$N$15),AND($M$147&gt;$N$16,$M$147&lt;=$N$17)),$M$147,#N/A)</f>
        <v>#N/A</v>
      </c>
      <c r="R147">
        <f>IF(OR(AND($M$147&lt;$N$11,$M$147&gt;=$N$14),AND($M$147&gt;$N$13,$M$147&lt;=$N$16)),$M$147,"")</f>
        <v>0.1514704040100253</v>
      </c>
    </row>
    <row r="148" spans="1:18" ht="12.75">
      <c r="A148">
        <f>IF(ISBLANK(data!N49),"",data!N49)</f>
      </c>
      <c r="C148">
        <v>1.5</v>
      </c>
      <c r="D148" t="e">
        <f>IF(OR($A$148&lt;$B$15,$A$148&gt;$B$17),$A$148,#N/A)</f>
        <v>#NUM!</v>
      </c>
      <c r="E148" t="e">
        <f>IF(OR(AND($A$148&lt;$B$14,$A$148&gt;=$B$15),AND($A$148&gt;$B$16,$A$148&lt;=$B$17)),$A$148,#N/A)</f>
        <v>#NUM!</v>
      </c>
      <c r="F148" t="e">
        <f>IF(OR(AND($A$148&lt;$B$11,$A$148&gt;=$B$14),AND($A$148&gt;$B$13,$A$148&lt;=$B$16)),$A$148,"")</f>
        <v>#NUM!</v>
      </c>
      <c r="M148">
        <f>IF(ISBLANK(data!G50),"",data!G50)</f>
        <v>0</v>
      </c>
      <c r="O148">
        <v>1.5</v>
      </c>
      <c r="P148" t="e">
        <f>IF(OR($M$148&lt;$N$15,$M$148&gt;$N$17),$M$148,#N/A)</f>
        <v>#N/A</v>
      </c>
      <c r="Q148" t="e">
        <f>IF(OR(AND($M$148&lt;$N$14,$M$148&gt;=$N$15),AND($M$148&gt;$N$16,$M$148&lt;=$N$17)),$M$148,#N/A)</f>
        <v>#N/A</v>
      </c>
      <c r="R148">
        <f>IF(OR(AND($M$148&lt;$N$11,$M$148&gt;=$N$14),AND($M$148&gt;$N$13,$M$148&lt;=$N$16)),$M$148,"")</f>
      </c>
    </row>
    <row r="149" spans="1:18" ht="12.75">
      <c r="A149">
        <f>IF(ISBLANK(data!N50),"",data!N50)</f>
      </c>
      <c r="C149">
        <v>1.5</v>
      </c>
      <c r="D149" t="e">
        <f>IF(OR($A$149&lt;$B$15,$A$149&gt;$B$17),$A$149,#N/A)</f>
        <v>#NUM!</v>
      </c>
      <c r="E149" t="e">
        <f>IF(OR(AND($A$149&lt;$B$14,$A$149&gt;=$B$15),AND($A$149&gt;$B$16,$A$149&lt;=$B$17)),$A$149,#N/A)</f>
        <v>#NUM!</v>
      </c>
      <c r="F149" t="e">
        <f>IF(OR(AND($A$149&lt;$B$11,$A$149&gt;=$B$14),AND($A$149&gt;$B$13,$A$149&lt;=$B$16)),$A$149,"")</f>
        <v>#NUM!</v>
      </c>
      <c r="M149">
        <f>IF(ISBLANK(data!G51),"",data!G51)</f>
        <v>0.04063764573182626</v>
      </c>
      <c r="O149">
        <v>1.5</v>
      </c>
      <c r="P149" t="e">
        <f>IF(OR($M$149&lt;$N$15,$M$149&gt;$N$17),$M$149,#N/A)</f>
        <v>#N/A</v>
      </c>
      <c r="Q149" t="e">
        <f>IF(OR(AND($M$149&lt;$N$14,$M$149&gt;=$N$15),AND($M$149&gt;$N$16,$M$149&lt;=$N$17)),$M$149,#N/A)</f>
        <v>#N/A</v>
      </c>
      <c r="R149">
        <f>IF(OR(AND($M$149&lt;$N$11,$M$149&gt;=$N$14),AND($M$149&gt;$N$13,$M$149&lt;=$N$16)),$M$149,"")</f>
      </c>
    </row>
    <row r="150" spans="1:18" ht="12.75">
      <c r="A150">
        <f>IF(ISBLANK(data!N51),"",data!N51)</f>
      </c>
      <c r="C150">
        <v>1.5</v>
      </c>
      <c r="D150" t="e">
        <f>IF(OR($A$150&lt;$B$15,$A$150&gt;$B$17),$A$150,#N/A)</f>
        <v>#NUM!</v>
      </c>
      <c r="E150" t="e">
        <f>IF(OR(AND($A$150&lt;$B$14,$A$150&gt;=$B$15),AND($A$150&gt;$B$16,$A$150&lt;=$B$17)),$A$150,#N/A)</f>
        <v>#NUM!</v>
      </c>
      <c r="F150" t="e">
        <f>IF(OR(AND($A$150&lt;$B$11,$A$150&gt;=$B$14),AND($A$150&gt;$B$13,$A$150&lt;=$B$16)),$A$150,"")</f>
        <v>#NUM!</v>
      </c>
      <c r="M150">
        <f>IF(ISBLANK(data!G52),"",data!G52)</f>
        <v>-0.08299691957096791</v>
      </c>
      <c r="O150">
        <v>1.5</v>
      </c>
      <c r="P150" t="e">
        <f>IF(OR($M$150&lt;$N$15,$M$150&gt;$N$17),$M$150,#N/A)</f>
        <v>#N/A</v>
      </c>
      <c r="Q150" t="e">
        <f>IF(OR(AND($M$150&lt;$N$14,$M$150&gt;=$N$15),AND($M$150&gt;$N$16,$M$150&lt;=$N$17)),$M$150,#N/A)</f>
        <v>#N/A</v>
      </c>
      <c r="R150">
        <f>IF(OR(AND($M$150&lt;$N$11,$M$150&gt;=$N$14),AND($M$150&gt;$N$13,$M$150&lt;=$N$16)),$M$150,"")</f>
        <v>-0.08299691957096791</v>
      </c>
    </row>
    <row r="151" spans="1:18" ht="12.75">
      <c r="A151">
        <f>IF(ISBLANK(data!N52),"",data!N52)</f>
      </c>
      <c r="C151">
        <v>1.5</v>
      </c>
      <c r="D151" t="e">
        <f>IF(OR($A$151&lt;$B$15,$A$151&gt;$B$17),$A$151,#N/A)</f>
        <v>#NUM!</v>
      </c>
      <c r="E151" t="e">
        <f>IF(OR(AND($A$151&lt;$B$14,$A$151&gt;=$B$15),AND($A$151&gt;$B$16,$A$151&lt;=$B$17)),$A$151,#N/A)</f>
        <v>#NUM!</v>
      </c>
      <c r="F151" t="e">
        <f>IF(OR(AND($A$151&lt;$B$11,$A$151&gt;=$B$14),AND($A$151&gt;$B$13,$A$151&lt;=$B$16)),$A$151,"")</f>
        <v>#NUM!</v>
      </c>
      <c r="M151">
        <f>IF(ISBLANK(data!G53),"",data!G53)</f>
        <v>0.23080642405977886</v>
      </c>
      <c r="O151">
        <v>1.5</v>
      </c>
      <c r="P151" t="e">
        <f>IF(OR($M$151&lt;$N$15,$M$151&gt;$N$17),$M$151,#N/A)</f>
        <v>#N/A</v>
      </c>
      <c r="Q151" t="e">
        <f>IF(OR(AND($M$151&lt;$N$14,$M$151&gt;=$N$15),AND($M$151&gt;$N$16,$M$151&lt;=$N$17)),$M$151,#N/A)</f>
        <v>#N/A</v>
      </c>
      <c r="R151">
        <f>IF(OR(AND($M$151&lt;$N$11,$M$151&gt;=$N$14),AND($M$151&gt;$N$13,$M$151&lt;=$N$16)),$M$151,"")</f>
        <v>0.23080642405977886</v>
      </c>
    </row>
    <row r="152" spans="1:18" ht="12.75">
      <c r="A152">
        <f>IF(ISBLANK(data!N53),"",data!N53)</f>
      </c>
      <c r="C152">
        <v>1.5</v>
      </c>
      <c r="D152" t="e">
        <f>IF(OR($A$152&lt;$B$15,$A$152&gt;$B$17),$A$152,#N/A)</f>
        <v>#NUM!</v>
      </c>
      <c r="E152" t="e">
        <f>IF(OR(AND($A$152&lt;$B$14,$A$152&gt;=$B$15),AND($A$152&gt;$B$16,$A$152&lt;=$B$17)),$A$152,#N/A)</f>
        <v>#NUM!</v>
      </c>
      <c r="F152" t="e">
        <f>IF(OR(AND($A$152&lt;$B$11,$A$152&gt;=$B$14),AND($A$152&gt;$B$13,$A$152&lt;=$B$16)),$A$152,"")</f>
        <v>#NUM!</v>
      </c>
      <c r="M152">
        <f>IF(ISBLANK(data!G54),"",data!G54)</f>
        <v>0.0076045993852192125</v>
      </c>
      <c r="O152">
        <v>1.5</v>
      </c>
      <c r="P152" t="e">
        <f>IF(OR($M$152&lt;$N$15,$M$152&gt;$N$17),$M$152,#N/A)</f>
        <v>#N/A</v>
      </c>
      <c r="Q152" t="e">
        <f>IF(OR(AND($M$152&lt;$N$14,$M$152&gt;=$N$15),AND($M$152&gt;$N$16,$M$152&lt;=$N$17)),$M$152,#N/A)</f>
        <v>#N/A</v>
      </c>
      <c r="R152">
        <f>IF(OR(AND($M$152&lt;$N$11,$M$152&gt;=$N$14),AND($M$152&gt;$N$13,$M$152&lt;=$N$16)),$M$152,"")</f>
      </c>
    </row>
    <row r="153" spans="1:18" ht="12.75">
      <c r="A153">
        <f>IF(ISBLANK(data!N54),"",data!N54)</f>
      </c>
      <c r="C153">
        <v>1.5</v>
      </c>
      <c r="D153" t="e">
        <f>IF(OR($A$153&lt;$B$15,$A$153&gt;$B$17),$A$153,#N/A)</f>
        <v>#NUM!</v>
      </c>
      <c r="E153" t="e">
        <f>IF(OR(AND($A$153&lt;$B$14,$A$153&gt;=$B$15),AND($A$153&gt;$B$16,$A$153&lt;=$B$17)),$A$153,#N/A)</f>
        <v>#NUM!</v>
      </c>
      <c r="F153" t="e">
        <f>IF(OR(AND($A$153&lt;$B$11,$A$153&gt;=$B$14),AND($A$153&gt;$B$13,$A$153&lt;=$B$16)),$A$153,"")</f>
        <v>#NUM!</v>
      </c>
      <c r="M153">
        <f>IF(ISBLANK(data!G55),"",data!G55)</f>
        <v>-0.01526747213078842</v>
      </c>
      <c r="O153">
        <v>1.5</v>
      </c>
      <c r="P153" t="e">
        <f>IF(OR($M$153&lt;$N$15,$M$153&gt;$N$17),$M$153,#N/A)</f>
        <v>#N/A</v>
      </c>
      <c r="Q153" t="e">
        <f>IF(OR(AND($M$153&lt;$N$14,$M$153&gt;=$N$15),AND($M$153&gt;$N$16,$M$153&lt;=$N$17)),$M$153,#N/A)</f>
        <v>#N/A</v>
      </c>
      <c r="R153">
        <f>IF(OR(AND($M$153&lt;$N$11,$M$153&gt;=$N$14),AND($M$153&gt;$N$13,$M$153&lt;=$N$16)),$M$153,"")</f>
      </c>
    </row>
    <row r="154" spans="1:18" ht="12.75">
      <c r="A154">
        <f>IF(ISBLANK(data!N55),"",data!N55)</f>
      </c>
      <c r="C154">
        <v>1.5</v>
      </c>
      <c r="D154" t="e">
        <f>IF(OR($A$154&lt;$B$15,$A$154&gt;$B$17),$A$154,#N/A)</f>
        <v>#NUM!</v>
      </c>
      <c r="E154" t="e">
        <f>IF(OR(AND($A$154&lt;$B$14,$A$154&gt;=$B$15),AND($A$154&gt;$B$16,$A$154&lt;=$B$17)),$A$154,#N/A)</f>
        <v>#NUM!</v>
      </c>
      <c r="F154" t="e">
        <f>IF(OR(AND($A$154&lt;$B$11,$A$154&gt;=$B$14),AND($A$154&gt;$B$13,$A$154&lt;=$B$16)),$A$154,"")</f>
        <v>#NUM!</v>
      </c>
      <c r="M154">
        <f>IF(ISBLANK(data!G56),"",data!G56)</f>
        <v>0.06333587517181076</v>
      </c>
      <c r="O154">
        <v>1.5</v>
      </c>
      <c r="P154" t="e">
        <f>IF(OR($M$154&lt;$N$15,$M$154&gt;$N$17),$M$154,#N/A)</f>
        <v>#N/A</v>
      </c>
      <c r="Q154" t="e">
        <f>IF(OR(AND($M$154&lt;$N$14,$M$154&gt;=$N$15),AND($M$154&gt;$N$16,$M$154&lt;=$N$17)),$M$154,#N/A)</f>
        <v>#N/A</v>
      </c>
      <c r="R154">
        <f>IF(OR(AND($M$154&lt;$N$11,$M$154&gt;=$N$14),AND($M$154&gt;$N$13,$M$154&lt;=$N$16)),$M$154,"")</f>
      </c>
    </row>
    <row r="155" spans="1:18" ht="12.75">
      <c r="A155">
        <f>IF(ISBLANK(data!N56),"",data!N56)</f>
      </c>
      <c r="C155">
        <v>1.5</v>
      </c>
      <c r="D155" t="e">
        <f>IF(OR($A$155&lt;$B$15,$A$155&gt;$B$17),$A$155,#N/A)</f>
        <v>#NUM!</v>
      </c>
      <c r="E155" t="e">
        <f>IF(OR(AND($A$155&lt;$B$14,$A$155&gt;=$B$15),AND($A$155&gt;$B$16,$A$155&lt;=$B$17)),$A$155,#N/A)</f>
        <v>#NUM!</v>
      </c>
      <c r="F155" t="e">
        <f>IF(OR(AND($A$155&lt;$B$11,$A$155&gt;=$B$14),AND($A$155&gt;$B$13,$A$155&lt;=$B$16)),$A$155,"")</f>
        <v>#NUM!</v>
      </c>
      <c r="M155">
        <f>IF(ISBLANK(data!G57),"",data!G57)</f>
        <v>-0.19029550263309888</v>
      </c>
      <c r="O155">
        <v>1.5</v>
      </c>
      <c r="P155" t="e">
        <f>IF(OR($M$155&lt;$N$15,$M$155&gt;$N$17),$M$155,#N/A)</f>
        <v>#N/A</v>
      </c>
      <c r="Q155" t="e">
        <f>IF(OR(AND($M$155&lt;$N$14,$M$155&gt;=$N$15),AND($M$155&gt;$N$16,$M$155&lt;=$N$17)),$M$155,#N/A)</f>
        <v>#N/A</v>
      </c>
      <c r="R155">
        <f>IF(OR(AND($M$155&lt;$N$11,$M$155&gt;=$N$14),AND($M$155&gt;$N$13,$M$155&lt;=$N$16)),$M$155,"")</f>
        <v>-0.19029550263309888</v>
      </c>
    </row>
    <row r="156" spans="1:18" ht="12.75">
      <c r="A156">
        <f>IF(ISBLANK(data!N57),"",data!N57)</f>
      </c>
      <c r="C156">
        <v>1.5</v>
      </c>
      <c r="D156" t="e">
        <f>IF(OR($A$156&lt;$B$15,$A$156&gt;$B$17),$A$156,#N/A)</f>
        <v>#NUM!</v>
      </c>
      <c r="E156" t="e">
        <f>IF(OR(AND($A$156&lt;$B$14,$A$156&gt;=$B$15),AND($A$156&gt;$B$16,$A$156&lt;=$B$17)),$A$156,#N/A)</f>
        <v>#NUM!</v>
      </c>
      <c r="F156" t="e">
        <f>IF(OR(AND($A$156&lt;$B$11,$A$156&gt;=$B$14),AND($A$156&gt;$B$13,$A$156&lt;=$B$16)),$A$156,"")</f>
        <v>#NUM!</v>
      </c>
      <c r="M156">
        <f>IF(ISBLANK(data!G58),"",data!G58)</f>
        <v>0.1794061028338305</v>
      </c>
      <c r="O156">
        <v>1.5</v>
      </c>
      <c r="P156" t="e">
        <f>IF(OR($M$156&lt;$N$15,$M$156&gt;$N$17),$M$156,#N/A)</f>
        <v>#N/A</v>
      </c>
      <c r="Q156" t="e">
        <f>IF(OR(AND($M$156&lt;$N$14,$M$156&gt;=$N$15),AND($M$156&gt;$N$16,$M$156&lt;=$N$17)),$M$156,#N/A)</f>
        <v>#N/A</v>
      </c>
      <c r="R156">
        <f>IF(OR(AND($M$156&lt;$N$11,$M$156&gt;=$N$14),AND($M$156&gt;$N$13,$M$156&lt;=$N$16)),$M$156,"")</f>
        <v>0.1794061028338305</v>
      </c>
    </row>
    <row r="157" spans="1:18" ht="12.75">
      <c r="A157">
        <f>IF(ISBLANK(data!N58),"",data!N58)</f>
      </c>
      <c r="C157">
        <v>1.5</v>
      </c>
      <c r="D157" t="e">
        <f>IF(OR($A$157&lt;$B$15,$A$157&gt;$B$17),$A$157,#N/A)</f>
        <v>#NUM!</v>
      </c>
      <c r="E157" t="e">
        <f>IF(OR(AND($A$157&lt;$B$14,$A$157&gt;=$B$15),AND($A$157&gt;$B$16,$A$157&lt;=$B$17)),$A$157,#N/A)</f>
        <v>#NUM!</v>
      </c>
      <c r="F157" t="e">
        <f>IF(OR(AND($A$157&lt;$B$11,$A$157&gt;=$B$14),AND($A$157&gt;$B$13,$A$157&lt;=$B$16)),$A$157,"")</f>
        <v>#NUM!</v>
      </c>
      <c r="M157">
        <f>IF(ISBLANK(data!G59),"",data!G59)</f>
        <v>-0.01841672678623115</v>
      </c>
      <c r="O157">
        <v>1.5</v>
      </c>
      <c r="P157" t="e">
        <f>IF(OR($M$157&lt;$N$15,$M$157&gt;$N$17),$M$157,#N/A)</f>
        <v>#N/A</v>
      </c>
      <c r="Q157" t="e">
        <f>IF(OR(AND($M$157&lt;$N$14,$M$157&gt;=$N$15),AND($M$157&gt;$N$16,$M$157&lt;=$N$17)),$M$157,#N/A)</f>
        <v>#N/A</v>
      </c>
      <c r="R157">
        <f>IF(OR(AND($M$157&lt;$N$11,$M$157&gt;=$N$14),AND($M$157&gt;$N$13,$M$157&lt;=$N$16)),$M$157,"")</f>
      </c>
    </row>
    <row r="158" spans="1:18" ht="12.75">
      <c r="A158">
        <f>IF(ISBLANK(data!N59),"",data!N59)</f>
      </c>
      <c r="C158">
        <v>1.5</v>
      </c>
      <c r="D158" t="e">
        <f>IF(OR($A$158&lt;$B$15,$A$158&gt;$B$17),$A$158,#N/A)</f>
        <v>#NUM!</v>
      </c>
      <c r="E158" t="e">
        <f>IF(OR(AND($A$158&lt;$B$14,$A$158&gt;=$B$15),AND($A$158&gt;$B$16,$A$158&lt;=$B$17)),$A$158,#N/A)</f>
        <v>#NUM!</v>
      </c>
      <c r="F158" t="e">
        <f>IF(OR(AND($A$158&lt;$B$11,$A$158&gt;=$B$14),AND($A$158&gt;$B$13,$A$158&lt;=$B$16)),$A$158,"")</f>
        <v>#NUM!</v>
      </c>
      <c r="M158">
        <f>IF(ISBLANK(data!G60),"",data!G60)</f>
        <v>-0.12665123846670798</v>
      </c>
      <c r="O158">
        <v>1.5</v>
      </c>
      <c r="P158" t="e">
        <f>IF(OR($M$158&lt;$N$15,$M$158&gt;$N$17),$M$158,#N/A)</f>
        <v>#N/A</v>
      </c>
      <c r="Q158" t="e">
        <f>IF(OR(AND($M$158&lt;$N$14,$M$158&gt;=$N$15),AND($M$158&gt;$N$16,$M$158&lt;=$N$17)),$M$158,#N/A)</f>
        <v>#N/A</v>
      </c>
      <c r="R158">
        <f>IF(OR(AND($M$158&lt;$N$11,$M$158&gt;=$N$14),AND($M$158&gt;$N$13,$M$158&lt;=$N$16)),$M$158,"")</f>
        <v>-0.12665123846670798</v>
      </c>
    </row>
    <row r="159" spans="1:18" ht="12.75">
      <c r="A159">
        <f>IF(ISBLANK(data!N60),"",data!N60)</f>
      </c>
      <c r="C159">
        <v>1.5</v>
      </c>
      <c r="D159" t="e">
        <f>IF(OR($A$159&lt;$B$15,$A$159&gt;$B$17),$A$159,#N/A)</f>
        <v>#NUM!</v>
      </c>
      <c r="E159" t="e">
        <f>IF(OR(AND($A$159&lt;$B$14,$A$159&gt;=$B$15),AND($A$159&gt;$B$16,$A$159&lt;=$B$17)),$A$159,#N/A)</f>
        <v>#NUM!</v>
      </c>
      <c r="F159" t="e">
        <f>IF(OR(AND($A$159&lt;$B$11,$A$159&gt;=$B$14),AND($A$159&gt;$B$13,$A$159&lt;=$B$16)),$A$159,"")</f>
        <v>#NUM!</v>
      </c>
      <c r="M159">
        <f>IF(ISBLANK(data!G61),"",data!G61)</f>
        <v>0.00840341079637938</v>
      </c>
      <c r="O159">
        <v>1.5</v>
      </c>
      <c r="P159" t="e">
        <f>IF(OR($M$159&lt;$N$15,$M$159&gt;$N$17),$M$159,#N/A)</f>
        <v>#N/A</v>
      </c>
      <c r="Q159" t="e">
        <f>IF(OR(AND($M$159&lt;$N$14,$M$159&gt;=$N$15),AND($M$159&gt;$N$16,$M$159&lt;=$N$17)),$M$159,#N/A)</f>
        <v>#N/A</v>
      </c>
      <c r="R159">
        <f>IF(OR(AND($M$159&lt;$N$11,$M$159&gt;=$N$14),AND($M$159&gt;$N$13,$M$159&lt;=$N$16)),$M$159,"")</f>
      </c>
    </row>
    <row r="160" spans="1:18" ht="12.75">
      <c r="A160">
        <f>IF(ISBLANK(data!N61),"",data!N61)</f>
      </c>
      <c r="C160">
        <v>1.5</v>
      </c>
      <c r="D160" t="e">
        <f>IF(OR($A$160&lt;$B$15,$A$160&gt;$B$17),$A$160,#N/A)</f>
        <v>#NUM!</v>
      </c>
      <c r="E160" t="e">
        <f>IF(OR(AND($A$160&lt;$B$14,$A$160&gt;=$B$15),AND($A$160&gt;$B$16,$A$160&lt;=$B$17)),$A$160,#N/A)</f>
        <v>#NUM!</v>
      </c>
      <c r="F160" t="e">
        <f>IF(OR(AND($A$160&lt;$B$11,$A$160&gt;=$B$14),AND($A$160&gt;$B$13,$A$160&lt;=$B$16)),$A$160,"")</f>
        <v>#NUM!</v>
      </c>
      <c r="M160">
        <f>IF(ISBLANK(data!G62),"",data!G62)</f>
        <v>0.05296553557991272</v>
      </c>
      <c r="O160">
        <v>1.5</v>
      </c>
      <c r="P160" t="e">
        <f>IF(OR($M$160&lt;$N$15,$M$160&gt;$N$17),$M$160,#N/A)</f>
        <v>#N/A</v>
      </c>
      <c r="Q160" t="e">
        <f>IF(OR(AND($M$160&lt;$N$14,$M$160&gt;=$N$15),AND($M$160&gt;$N$16,$M$160&lt;=$N$17)),$M$160,#N/A)</f>
        <v>#N/A</v>
      </c>
      <c r="R160">
        <f>IF(OR(AND($M$160&lt;$N$11,$M$160&gt;=$N$14),AND($M$160&gt;$N$13,$M$160&lt;=$N$16)),$M$160,"")</f>
      </c>
    </row>
    <row r="161" spans="1:18" ht="12.75">
      <c r="A161">
        <f>IF(ISBLANK(data!N62),"",data!N62)</f>
      </c>
      <c r="C161">
        <v>1.5</v>
      </c>
      <c r="D161" t="e">
        <f>IF(OR($A$161&lt;$B$15,$A$161&gt;$B$17),$A$161,#N/A)</f>
        <v>#NUM!</v>
      </c>
      <c r="E161" t="e">
        <f>IF(OR(AND($A$161&lt;$B$14,$A$161&gt;=$B$15),AND($A$161&gt;$B$16,$A$161&lt;=$B$17)),$A$161,#N/A)</f>
        <v>#NUM!</v>
      </c>
      <c r="F161" t="e">
        <f>IF(OR(AND($A$161&lt;$B$11,$A$161&gt;=$B$14),AND($A$161&gt;$B$13,$A$161&lt;=$B$16)),$A$161,"")</f>
        <v>#NUM!</v>
      </c>
      <c r="M161">
        <f>IF(ISBLANK(data!G63),"",data!G63)</f>
        <v>0.21197281893108522</v>
      </c>
      <c r="O161">
        <v>1.5</v>
      </c>
      <c r="P161" t="e">
        <f>IF(OR($M$161&lt;$N$15,$M$161&gt;$N$17),$M$161,#N/A)</f>
        <v>#N/A</v>
      </c>
      <c r="Q161" t="e">
        <f>IF(OR(AND($M$161&lt;$N$14,$M$161&gt;=$N$15),AND($M$161&gt;$N$16,$M$161&lt;=$N$17)),$M$161,#N/A)</f>
        <v>#N/A</v>
      </c>
      <c r="R161">
        <f>IF(OR(AND($M$161&lt;$N$11,$M$161&gt;=$N$14),AND($M$161&gt;$N$13,$M$161&lt;=$N$16)),$M$161,"")</f>
        <v>0.21197281893108522</v>
      </c>
    </row>
    <row r="162" spans="1:18" ht="12.75">
      <c r="A162">
        <f>IF(ISBLANK(data!N63),"",data!N63)</f>
      </c>
      <c r="C162">
        <v>1.5</v>
      </c>
      <c r="D162" t="e">
        <f>IF(OR($A$162&lt;$B$15,$A$162&gt;$B$17),$A$162,#N/A)</f>
        <v>#NUM!</v>
      </c>
      <c r="E162" t="e">
        <f>IF(OR(AND($A$162&lt;$B$14,$A$162&gt;=$B$15),AND($A$162&gt;$B$16,$A$162&lt;=$B$17)),$A$162,#N/A)</f>
        <v>#NUM!</v>
      </c>
      <c r="F162" t="e">
        <f>IF(OR(AND($A$162&lt;$B$11,$A$162&gt;=$B$14),AND($A$162&gt;$B$13,$A$162&lt;=$B$16)),$A$162,"")</f>
        <v>#NUM!</v>
      </c>
      <c r="M162">
        <f>IF(ISBLANK(data!G64),"",data!G64)</f>
        <v>0.05008859137790611</v>
      </c>
      <c r="O162">
        <v>1.5</v>
      </c>
      <c r="P162" t="e">
        <f>IF(OR($M$162&lt;$N$15,$M$162&gt;$N$17),$M$162,#N/A)</f>
        <v>#N/A</v>
      </c>
      <c r="Q162" t="e">
        <f>IF(OR(AND($M$162&lt;$N$14,$M$162&gt;=$N$15),AND($M$162&gt;$N$16,$M$162&lt;=$N$17)),$M$162,#N/A)</f>
        <v>#N/A</v>
      </c>
      <c r="R162">
        <f>IF(OR(AND($M$162&lt;$N$11,$M$162&gt;=$N$14),AND($M$162&gt;$N$13,$M$162&lt;=$N$16)),$M$162,"")</f>
      </c>
    </row>
    <row r="163" spans="1:18" ht="12.75">
      <c r="A163">
        <f>IF(ISBLANK(data!N64),"",data!N64)</f>
      </c>
      <c r="C163">
        <v>1.5</v>
      </c>
      <c r="D163" t="e">
        <f>IF(OR($A$163&lt;$B$15,$A$163&gt;$B$17),$A$163,#N/A)</f>
        <v>#NUM!</v>
      </c>
      <c r="E163" t="e">
        <f>IF(OR(AND($A$163&lt;$B$14,$A$163&gt;=$B$15),AND($A$163&gt;$B$16,$A$163&lt;=$B$17)),$A$163,#N/A)</f>
        <v>#NUM!</v>
      </c>
      <c r="F163" t="e">
        <f>IF(OR(AND($A$163&lt;$B$11,$A$163&gt;=$B$14),AND($A$163&gt;$B$13,$A$163&lt;=$B$16)),$A$163,"")</f>
        <v>#NUM!</v>
      </c>
      <c r="M163">
        <f>IF(ISBLANK(data!G65),"",data!G65)</f>
        <v>0.0015231105637289332</v>
      </c>
      <c r="O163">
        <v>1.5</v>
      </c>
      <c r="P163" t="e">
        <f>IF(OR($M$163&lt;$N$15,$M$163&gt;$N$17),$M$163,#N/A)</f>
        <v>#N/A</v>
      </c>
      <c r="Q163" t="e">
        <f>IF(OR(AND($M$163&lt;$N$14,$M$163&gt;=$N$15),AND($M$163&gt;$N$16,$M$163&lt;=$N$17)),$M$163,#N/A)</f>
        <v>#N/A</v>
      </c>
      <c r="R163">
        <f>IF(OR(AND($M$163&lt;$N$11,$M$163&gt;=$N$14),AND($M$163&gt;$N$13,$M$163&lt;=$N$16)),$M$163,"")</f>
      </c>
    </row>
    <row r="164" spans="1:18" ht="12.75">
      <c r="A164">
        <f>IF(ISBLANK(data!N65),"",data!N65)</f>
      </c>
      <c r="C164">
        <v>1.5</v>
      </c>
      <c r="D164" t="e">
        <f>IF(OR($A$164&lt;$B$15,$A$164&gt;$B$17),$A$164,#N/A)</f>
        <v>#NUM!</v>
      </c>
      <c r="E164" t="e">
        <f>IF(OR(AND($A$164&lt;$B$14,$A$164&gt;=$B$15),AND($A$164&gt;$B$16,$A$164&lt;=$B$17)),$A$164,#N/A)</f>
        <v>#NUM!</v>
      </c>
      <c r="F164" t="e">
        <f>IF(OR(AND($A$164&lt;$B$11,$A$164&gt;=$B$14),AND($A$164&gt;$B$13,$A$164&lt;=$B$16)),$A$164,"")</f>
        <v>#NUM!</v>
      </c>
      <c r="M164">
        <f>IF(ISBLANK(data!G66),"",data!G66)</f>
        <v>0.019620879551981975</v>
      </c>
      <c r="O164">
        <v>1.5</v>
      </c>
      <c r="P164" t="e">
        <f>IF(OR($M$164&lt;$N$15,$M$164&gt;$N$17),$M$164,#N/A)</f>
        <v>#N/A</v>
      </c>
      <c r="Q164" t="e">
        <f>IF(OR(AND($M$164&lt;$N$14,$M$164&gt;=$N$15),AND($M$164&gt;$N$16,$M$164&lt;=$N$17)),$M$164,#N/A)</f>
        <v>#N/A</v>
      </c>
      <c r="R164">
        <f>IF(OR(AND($M$164&lt;$N$11,$M$164&gt;=$N$14),AND($M$164&gt;$N$13,$M$164&lt;=$N$16)),$M$164,"")</f>
      </c>
    </row>
    <row r="165" spans="1:18" ht="12.75">
      <c r="A165">
        <f>IF(ISBLANK(data!N66),"",data!N66)</f>
      </c>
      <c r="C165">
        <v>1.5</v>
      </c>
      <c r="D165" t="e">
        <f>IF(OR($A$165&lt;$B$15,$A$165&gt;$B$17),$A$165,#N/A)</f>
        <v>#NUM!</v>
      </c>
      <c r="E165" t="e">
        <f>IF(OR(AND($A$165&lt;$B$14,$A$165&gt;=$B$15),AND($A$165&gt;$B$16,$A$165&lt;=$B$17)),$A$165,#N/A)</f>
        <v>#NUM!</v>
      </c>
      <c r="F165" t="e">
        <f>IF(OR(AND($A$165&lt;$B$11,$A$165&gt;=$B$14),AND($A$165&gt;$B$13,$A$165&lt;=$B$16)),$A$165,"")</f>
        <v>#NUM!</v>
      </c>
      <c r="M165">
        <f>IF(ISBLANK(data!G67),"",data!G67)</f>
        <v>-0.23668538478980947</v>
      </c>
      <c r="O165">
        <v>1.5</v>
      </c>
      <c r="P165" t="e">
        <f>IF(OR($M$165&lt;$N$15,$M$165&gt;$N$17),$M$165,#N/A)</f>
        <v>#N/A</v>
      </c>
      <c r="Q165">
        <f>IF(OR(AND($M$165&lt;$N$14,$M$165&gt;=$N$15),AND($M$165&gt;$N$16,$M$165&lt;=$N$17)),$M$165,#N/A)</f>
        <v>-0.23668538478980947</v>
      </c>
      <c r="R165">
        <f>IF(OR(AND($M$165&lt;$N$11,$M$165&gt;=$N$14),AND($M$165&gt;$N$13,$M$165&lt;=$N$16)),$M$165,"")</f>
      </c>
    </row>
    <row r="166" spans="1:18" ht="12.75">
      <c r="A166">
        <f>IF(ISBLANK(data!N67),"",data!N67)</f>
      </c>
      <c r="C166">
        <v>1.5</v>
      </c>
      <c r="D166" t="e">
        <f>IF(OR($A$166&lt;$B$15,$A$166&gt;$B$17),$A$166,#N/A)</f>
        <v>#NUM!</v>
      </c>
      <c r="E166" t="e">
        <f>IF(OR(AND($A$166&lt;$B$14,$A$166&gt;=$B$15),AND($A$166&gt;$B$16,$A$166&lt;=$B$17)),$A$166,#N/A)</f>
        <v>#NUM!</v>
      </c>
      <c r="F166" t="e">
        <f>IF(OR(AND($A$166&lt;$B$11,$A$166&gt;=$B$14),AND($A$166&gt;$B$13,$A$166&lt;=$B$16)),$A$166,"")</f>
        <v>#NUM!</v>
      </c>
      <c r="M166">
        <f>IF(ISBLANK(data!G68),"",data!G68)</f>
        <v>0.05526267867504952</v>
      </c>
      <c r="O166">
        <v>1.5</v>
      </c>
      <c r="P166" t="e">
        <f>IF(OR($M$166&lt;$N$15,$M$166&gt;$N$17),$M$166,#N/A)</f>
        <v>#N/A</v>
      </c>
      <c r="Q166" t="e">
        <f>IF(OR(AND($M$166&lt;$N$14,$M$166&gt;=$N$15),AND($M$166&gt;$N$16,$M$166&lt;=$N$17)),$M$166,#N/A)</f>
        <v>#N/A</v>
      </c>
      <c r="R166">
        <f>IF(OR(AND($M$166&lt;$N$11,$M$166&gt;=$N$14),AND($M$166&gt;$N$13,$M$166&lt;=$N$16)),$M$166,"")</f>
      </c>
    </row>
    <row r="167" spans="1:18" ht="12.75">
      <c r="A167">
        <f>IF(ISBLANK(data!N68),"",data!N68)</f>
      </c>
      <c r="C167">
        <v>1.5</v>
      </c>
      <c r="D167" t="e">
        <f>IF(OR($A$167&lt;$B$15,$A$167&gt;$B$17),$A$167,#N/A)</f>
        <v>#NUM!</v>
      </c>
      <c r="E167" t="e">
        <f>IF(OR(AND($A$167&lt;$B$14,$A$167&gt;=$B$15),AND($A$167&gt;$B$16,$A$167&lt;=$B$17)),$A$167,#N/A)</f>
        <v>#NUM!</v>
      </c>
      <c r="F167" t="e">
        <f>IF(OR(AND($A$167&lt;$B$11,$A$167&gt;=$B$14),AND($A$167&gt;$B$13,$A$167&lt;=$B$16)),$A$167,"")</f>
        <v>#NUM!</v>
      </c>
      <c r="M167">
        <f>IF(ISBLANK(data!G69),"",data!G69)</f>
        <v>0.09563596576583158</v>
      </c>
      <c r="O167">
        <v>1.5</v>
      </c>
      <c r="P167" t="e">
        <f>IF(OR($M$167&lt;$N$15,$M$167&gt;$N$17),$M$167,#N/A)</f>
        <v>#N/A</v>
      </c>
      <c r="Q167" t="e">
        <f>IF(OR(AND($M$167&lt;$N$14,$M$167&gt;=$N$15),AND($M$167&gt;$N$16,$M$167&lt;=$N$17)),$M$167,#N/A)</f>
        <v>#N/A</v>
      </c>
      <c r="R167">
        <f>IF(OR(AND($M$167&lt;$N$11,$M$167&gt;=$N$14),AND($M$167&gt;$N$13,$M$167&lt;=$N$16)),$M$167,"")</f>
      </c>
    </row>
    <row r="168" spans="1:18" ht="12.75">
      <c r="A168">
        <f>IF(ISBLANK(data!N69),"",data!N69)</f>
      </c>
      <c r="C168">
        <v>1.5</v>
      </c>
      <c r="D168" t="e">
        <f>IF(OR($A$168&lt;$B$15,$A$168&gt;$B$17),$A$168,#N/A)</f>
        <v>#NUM!</v>
      </c>
      <c r="E168" t="e">
        <f>IF(OR(AND($A$168&lt;$B$14,$A$168&gt;=$B$15),AND($A$168&gt;$B$16,$A$168&lt;=$B$17)),$A$168,#N/A)</f>
        <v>#NUM!</v>
      </c>
      <c r="F168" t="e">
        <f>IF(OR(AND($A$168&lt;$B$11,$A$168&gt;=$B$14),AND($A$168&gt;$B$13,$A$168&lt;=$B$16)),$A$168,"")</f>
        <v>#NUM!</v>
      </c>
      <c r="M168">
        <f>IF(ISBLANK(data!G70),"",data!G70)</f>
        <v>-0.04838581596176132</v>
      </c>
      <c r="O168">
        <v>1.5</v>
      </c>
      <c r="P168" t="e">
        <f>IF(OR($M$168&lt;$N$15,$M$168&gt;$N$17),$M$168,#N/A)</f>
        <v>#N/A</v>
      </c>
      <c r="Q168" t="e">
        <f>IF(OR(AND($M$168&lt;$N$14,$M$168&gt;=$N$15),AND($M$168&gt;$N$16,$M$168&lt;=$N$17)),$M$168,#N/A)</f>
        <v>#N/A</v>
      </c>
      <c r="R168">
        <f>IF(OR(AND($M$168&lt;$N$11,$M$168&gt;=$N$14),AND($M$168&gt;$N$13,$M$168&lt;=$N$16)),$M$168,"")</f>
        <v>-0.04838581596176132</v>
      </c>
    </row>
    <row r="169" spans="1:18" ht="12.75">
      <c r="A169">
        <f>IF(ISBLANK(data!N70),"",data!N70)</f>
      </c>
      <c r="C169">
        <v>1.5</v>
      </c>
      <c r="D169" t="e">
        <f>IF(OR($A$169&lt;$B$15,$A$169&gt;$B$17),$A$169,#N/A)</f>
        <v>#NUM!</v>
      </c>
      <c r="E169" t="e">
        <f>IF(OR(AND($A$169&lt;$B$14,$A$169&gt;=$B$15),AND($A$169&gt;$B$16,$A$169&lt;=$B$17)),$A$169,#N/A)</f>
        <v>#NUM!</v>
      </c>
      <c r="F169" t="e">
        <f>IF(OR(AND($A$169&lt;$B$11,$A$169&gt;=$B$14),AND($A$169&gt;$B$13,$A$169&lt;=$B$16)),$A$169,"")</f>
        <v>#NUM!</v>
      </c>
      <c r="M169">
        <f>IF(ISBLANK(data!G71),"",data!G71)</f>
        <v>0.07885878230947084</v>
      </c>
      <c r="O169">
        <v>1.5</v>
      </c>
      <c r="P169" t="e">
        <f>IF(OR($M$169&lt;$N$15,$M$169&gt;$N$17),$M$169,#N/A)</f>
        <v>#N/A</v>
      </c>
      <c r="Q169" t="e">
        <f>IF(OR(AND($M$169&lt;$N$14,$M$169&gt;=$N$15),AND($M$169&gt;$N$16,$M$169&lt;=$N$17)),$M$169,#N/A)</f>
        <v>#N/A</v>
      </c>
      <c r="R169">
        <f>IF(OR(AND($M$169&lt;$N$11,$M$169&gt;=$N$14),AND($M$169&gt;$N$13,$M$169&lt;=$N$16)),$M$169,"")</f>
      </c>
    </row>
    <row r="170" spans="1:18" ht="12.75">
      <c r="A170">
        <f>IF(ISBLANK(data!N71),"",data!N71)</f>
      </c>
      <c r="C170">
        <v>1.5</v>
      </c>
      <c r="D170" t="e">
        <f>IF(OR($A$170&lt;$B$15,$A$170&gt;$B$17),$A$170,#N/A)</f>
        <v>#NUM!</v>
      </c>
      <c r="E170" t="e">
        <f>IF(OR(AND($A$170&lt;$B$14,$A$170&gt;=$B$15),AND($A$170&gt;$B$16,$A$170&lt;=$B$17)),$A$170,#N/A)</f>
        <v>#NUM!</v>
      </c>
      <c r="F170" t="e">
        <f>IF(OR(AND($A$170&lt;$B$11,$A$170&gt;=$B$14),AND($A$170&gt;$B$13,$A$170&lt;=$B$16)),$A$170,"")</f>
        <v>#NUM!</v>
      </c>
      <c r="M170">
        <f>IF(ISBLANK(data!G72),"",data!G72)</f>
        <v>0.13570155346083573</v>
      </c>
      <c r="O170">
        <v>1.5</v>
      </c>
      <c r="P170" t="e">
        <f>IF(OR($M$170&lt;$N$15,$M$170&gt;$N$17),$M$170,#N/A)</f>
        <v>#N/A</v>
      </c>
      <c r="Q170" t="e">
        <f>IF(OR(AND($M$170&lt;$N$14,$M$170&gt;=$N$15),AND($M$170&gt;$N$16,$M$170&lt;=$N$17)),$M$170,#N/A)</f>
        <v>#N/A</v>
      </c>
      <c r="R170">
        <f>IF(OR(AND($M$170&lt;$N$11,$M$170&gt;=$N$14),AND($M$170&gt;$N$13,$M$170&lt;=$N$16)),$M$170,"")</f>
        <v>0.13570155346083573</v>
      </c>
    </row>
    <row r="171" spans="1:18" ht="12.75">
      <c r="A171">
        <f>IF(ISBLANK(data!N72),"",data!N72)</f>
      </c>
      <c r="C171">
        <v>1.5</v>
      </c>
      <c r="D171" t="e">
        <f>IF(OR($A$171&lt;$B$15,$A$171&gt;$B$17),$A$171,#N/A)</f>
        <v>#NUM!</v>
      </c>
      <c r="E171" t="e">
        <f>IF(OR(AND($A$171&lt;$B$14,$A$171&gt;=$B$15),AND($A$171&gt;$B$16,$A$171&lt;=$B$17)),$A$171,#N/A)</f>
        <v>#NUM!</v>
      </c>
      <c r="F171" t="e">
        <f>IF(OR(AND($A$171&lt;$B$11,$A$171&gt;=$B$14),AND($A$171&gt;$B$13,$A$171&lt;=$B$16)),$A$171,"")</f>
        <v>#NUM!</v>
      </c>
      <c r="M171">
        <f>IF(ISBLANK(data!G73),"",data!G73)</f>
        <v>0.06022106689204183</v>
      </c>
      <c r="O171">
        <v>1.5</v>
      </c>
      <c r="P171" t="e">
        <f>IF(OR($M$171&lt;$N$15,$M$171&gt;$N$17),$M$171,#N/A)</f>
        <v>#N/A</v>
      </c>
      <c r="Q171" t="e">
        <f>IF(OR(AND($M$171&lt;$N$14,$M$171&gt;=$N$15),AND($M$171&gt;$N$16,$M$171&lt;=$N$17)),$M$171,#N/A)</f>
        <v>#N/A</v>
      </c>
      <c r="R171">
        <f>IF(OR(AND($M$171&lt;$N$11,$M$171&gt;=$N$14),AND($M$171&gt;$N$13,$M$171&lt;=$N$16)),$M$171,"")</f>
      </c>
    </row>
    <row r="172" spans="1:18" ht="12.75">
      <c r="A172">
        <f>IF(ISBLANK(data!N73),"",data!N73)</f>
      </c>
      <c r="C172">
        <v>1.5</v>
      </c>
      <c r="D172" t="e">
        <f>IF(OR($A$172&lt;$B$15,$A$172&gt;$B$17),$A$172,#N/A)</f>
        <v>#NUM!</v>
      </c>
      <c r="E172" t="e">
        <f>IF(OR(AND($A$172&lt;$B$14,$A$172&gt;=$B$15),AND($A$172&gt;$B$16,$A$172&lt;=$B$17)),$A$172,#N/A)</f>
        <v>#NUM!</v>
      </c>
      <c r="F172" t="e">
        <f>IF(OR(AND($A$172&lt;$B$11,$A$172&gt;=$B$14),AND($A$172&gt;$B$13,$A$172&lt;=$B$16)),$A$172,"")</f>
        <v>#NUM!</v>
      </c>
      <c r="M172">
        <f>IF(ISBLANK(data!G74),"",data!G74)</f>
        <v>-0.0026007817000573675</v>
      </c>
      <c r="O172">
        <v>1.5</v>
      </c>
      <c r="P172" t="e">
        <f>IF(OR($M$172&lt;$N$15,$M$172&gt;$N$17),$M$172,#N/A)</f>
        <v>#N/A</v>
      </c>
      <c r="Q172" t="e">
        <f>IF(OR(AND($M$172&lt;$N$14,$M$172&gt;=$N$15),AND($M$172&gt;$N$16,$M$172&lt;=$N$17)),$M$172,#N/A)</f>
        <v>#N/A</v>
      </c>
      <c r="R172">
        <f>IF(OR(AND($M$172&lt;$N$11,$M$172&gt;=$N$14),AND($M$172&gt;$N$13,$M$172&lt;=$N$16)),$M$172,"")</f>
      </c>
    </row>
    <row r="173" spans="1:18" ht="12.75">
      <c r="A173">
        <f>IF(ISBLANK(data!N74),"",data!N74)</f>
      </c>
      <c r="C173">
        <v>1.5</v>
      </c>
      <c r="D173" t="e">
        <f>IF(OR($A$173&lt;$B$15,$A$173&gt;$B$17),$A$173,#N/A)</f>
        <v>#NUM!</v>
      </c>
      <c r="E173" t="e">
        <f>IF(OR(AND($A$173&lt;$B$14,$A$173&gt;=$B$15),AND($A$173&gt;$B$16,$A$173&lt;=$B$17)),$A$173,#N/A)</f>
        <v>#NUM!</v>
      </c>
      <c r="F173" t="e">
        <f>IF(OR(AND($A$173&lt;$B$11,$A$173&gt;=$B$14),AND($A$173&gt;$B$13,$A$173&lt;=$B$16)),$A$173,"")</f>
        <v>#NUM!</v>
      </c>
      <c r="M173">
        <f>IF(ISBLANK(data!G75),"",data!G75)</f>
        <v>0.10731360713236639</v>
      </c>
      <c r="O173">
        <v>1.5</v>
      </c>
      <c r="P173" t="e">
        <f>IF(OR($M$173&lt;$N$15,$M$173&gt;$N$17),$M$173,#N/A)</f>
        <v>#N/A</v>
      </c>
      <c r="Q173" t="e">
        <f>IF(OR(AND($M$173&lt;$N$14,$M$173&gt;=$N$15),AND($M$173&gt;$N$16,$M$173&lt;=$N$17)),$M$173,#N/A)</f>
        <v>#N/A</v>
      </c>
      <c r="R173">
        <f>IF(OR(AND($M$173&lt;$N$11,$M$173&gt;=$N$14),AND($M$173&gt;$N$13,$M$173&lt;=$N$16)),$M$173,"")</f>
      </c>
    </row>
    <row r="174" spans="1:18" ht="12.75">
      <c r="A174">
        <f>IF(ISBLANK(data!N75),"",data!N75)</f>
      </c>
      <c r="C174">
        <v>1.5</v>
      </c>
      <c r="D174" t="e">
        <f>IF(OR($A$174&lt;$B$15,$A$174&gt;$B$17),$A$174,#N/A)</f>
        <v>#NUM!</v>
      </c>
      <c r="E174" t="e">
        <f>IF(OR(AND($A$174&lt;$B$14,$A$174&gt;=$B$15),AND($A$174&gt;$B$16,$A$174&lt;=$B$17)),$A$174,#N/A)</f>
        <v>#NUM!</v>
      </c>
      <c r="F174" t="e">
        <f>IF(OR(AND($A$174&lt;$B$11,$A$174&gt;=$B$14),AND($A$174&gt;$B$13,$A$174&lt;=$B$16)),$A$174,"")</f>
        <v>#NUM!</v>
      </c>
      <c r="M174">
        <f>IF(ISBLANK(data!G76),"",data!G76)</f>
        <v>-0.24382562789502688</v>
      </c>
      <c r="O174">
        <v>1.5</v>
      </c>
      <c r="P174" t="e">
        <f>IF(OR($M$174&lt;$N$15,$M$174&gt;$N$17),$M$174,#N/A)</f>
        <v>#N/A</v>
      </c>
      <c r="Q174">
        <f>IF(OR(AND($M$174&lt;$N$14,$M$174&gt;=$N$15),AND($M$174&gt;$N$16,$M$174&lt;=$N$17)),$M$174,#N/A)</f>
        <v>-0.24382562789502688</v>
      </c>
      <c r="R174">
        <f>IF(OR(AND($M$174&lt;$N$11,$M$174&gt;=$N$14),AND($M$174&gt;$N$13,$M$174&lt;=$N$16)),$M$174,"")</f>
      </c>
    </row>
    <row r="175" spans="1:18" ht="12.75">
      <c r="A175">
        <f>IF(ISBLANK(data!N76),"",data!N76)</f>
      </c>
      <c r="C175">
        <v>1.5</v>
      </c>
      <c r="D175" t="e">
        <f>IF(OR($A$175&lt;$B$15,$A$175&gt;$B$17),$A$175,#N/A)</f>
        <v>#NUM!</v>
      </c>
      <c r="E175" t="e">
        <f>IF(OR(AND($A$175&lt;$B$14,$A$175&gt;=$B$15),AND($A$175&gt;$B$16,$A$175&lt;=$B$17)),$A$175,#N/A)</f>
        <v>#NUM!</v>
      </c>
      <c r="F175" t="e">
        <f>IF(OR(AND($A$175&lt;$B$11,$A$175&gt;=$B$14),AND($A$175&gt;$B$13,$A$175&lt;=$B$16)),$A$175,"")</f>
        <v>#NUM!</v>
      </c>
      <c r="M175">
        <f>IF(ISBLANK(data!G77),"",data!G77)</f>
        <v>-0.2827224514315027</v>
      </c>
      <c r="O175">
        <v>1.5</v>
      </c>
      <c r="P175" t="e">
        <f>IF(OR($M$175&lt;$N$15,$M$175&gt;$N$17),$M$175,#N/A)</f>
        <v>#N/A</v>
      </c>
      <c r="Q175">
        <f>IF(OR(AND($M$175&lt;$N$14,$M$175&gt;=$N$15),AND($M$175&gt;$N$16,$M$175&lt;=$N$17)),$M$175,#N/A)</f>
        <v>-0.2827224514315027</v>
      </c>
      <c r="R175">
        <f>IF(OR(AND($M$175&lt;$N$11,$M$175&gt;=$N$14),AND($M$175&gt;$N$13,$M$175&lt;=$N$16)),$M$175,"")</f>
      </c>
    </row>
    <row r="176" spans="1:18" ht="12.75">
      <c r="A176">
        <f>IF(ISBLANK(data!N77),"",data!N77)</f>
      </c>
      <c r="C176">
        <v>1.5</v>
      </c>
      <c r="D176" t="e">
        <f>IF(OR($A$176&lt;$B$15,$A$176&gt;$B$17),$A$176,#N/A)</f>
        <v>#NUM!</v>
      </c>
      <c r="E176" t="e">
        <f>IF(OR(AND($A$176&lt;$B$14,$A$176&gt;=$B$15),AND($A$176&gt;$B$16,$A$176&lt;=$B$17)),$A$176,#N/A)</f>
        <v>#NUM!</v>
      </c>
      <c r="F176" t="e">
        <f>IF(OR(AND($A$176&lt;$B$11,$A$176&gt;=$B$14),AND($A$176&gt;$B$13,$A$176&lt;=$B$16)),$A$176,"")</f>
        <v>#NUM!</v>
      </c>
      <c r="M176">
        <f>IF(ISBLANK(data!G78),"",data!G78)</f>
        <v>0.13674998000081492</v>
      </c>
      <c r="O176">
        <v>1.5</v>
      </c>
      <c r="P176" t="e">
        <f>IF(OR($M$176&lt;$N$15,$M$176&gt;$N$17),$M$176,#N/A)</f>
        <v>#N/A</v>
      </c>
      <c r="Q176" t="e">
        <f>IF(OR(AND($M$176&lt;$N$14,$M$176&gt;=$N$15),AND($M$176&gt;$N$16,$M$176&lt;=$N$17)),$M$176,#N/A)</f>
        <v>#N/A</v>
      </c>
      <c r="R176">
        <f>IF(OR(AND($M$176&lt;$N$11,$M$176&gt;=$N$14),AND($M$176&gt;$N$13,$M$176&lt;=$N$16)),$M$176,"")</f>
        <v>0.13674998000081492</v>
      </c>
    </row>
    <row r="177" spans="1:18" ht="12.75">
      <c r="A177">
        <f>IF(ISBLANK(data!N78),"",data!N78)</f>
      </c>
      <c r="C177">
        <v>1.5</v>
      </c>
      <c r="D177" t="e">
        <f>IF(OR($A$177&lt;$B$15,$A$177&gt;$B$17),$A$177,#N/A)</f>
        <v>#NUM!</v>
      </c>
      <c r="E177" t="e">
        <f>IF(OR(AND($A$177&lt;$B$14,$A$177&gt;=$B$15),AND($A$177&gt;$B$16,$A$177&lt;=$B$17)),$A$177,#N/A)</f>
        <v>#NUM!</v>
      </c>
      <c r="F177" t="e">
        <f>IF(OR(AND($A$177&lt;$B$11,$A$177&gt;=$B$14),AND($A$177&gt;$B$13,$A$177&lt;=$B$16)),$A$177,"")</f>
        <v>#NUM!</v>
      </c>
      <c r="M177">
        <f>IF(ISBLANK(data!G79),"",data!G79)</f>
        <v>0.18116671955248057</v>
      </c>
      <c r="O177">
        <v>1.5</v>
      </c>
      <c r="P177" t="e">
        <f>IF(OR($M$177&lt;$N$15,$M$177&gt;$N$17),$M$177,#N/A)</f>
        <v>#N/A</v>
      </c>
      <c r="Q177" t="e">
        <f>IF(OR(AND($M$177&lt;$N$14,$M$177&gt;=$N$15),AND($M$177&gt;$N$16,$M$177&lt;=$N$17)),$M$177,#N/A)</f>
        <v>#N/A</v>
      </c>
      <c r="R177">
        <f>IF(OR(AND($M$177&lt;$N$11,$M$177&gt;=$N$14),AND($M$177&gt;$N$13,$M$177&lt;=$N$16)),$M$177,"")</f>
        <v>0.18116671955248057</v>
      </c>
    </row>
    <row r="178" spans="1:18" ht="12.75">
      <c r="A178">
        <f>IF(ISBLANK(data!N79),"",data!N79)</f>
      </c>
      <c r="C178">
        <v>1.5</v>
      </c>
      <c r="D178" t="e">
        <f>IF(OR($A$178&lt;$B$15,$A$178&gt;$B$17),$A$178,#N/A)</f>
        <v>#NUM!</v>
      </c>
      <c r="E178" t="e">
        <f>IF(OR(AND($A$178&lt;$B$14,$A$178&gt;=$B$15),AND($A$178&gt;$B$16,$A$178&lt;=$B$17)),$A$178,#N/A)</f>
        <v>#NUM!</v>
      </c>
      <c r="F178" t="e">
        <f>IF(OR(AND($A$178&lt;$B$11,$A$178&gt;=$B$14),AND($A$178&gt;$B$13,$A$178&lt;=$B$16)),$A$178,"")</f>
        <v>#NUM!</v>
      </c>
      <c r="M178">
        <f>IF(ISBLANK(data!G80),"",data!G80)</f>
        <v>0.061471864093668</v>
      </c>
      <c r="O178">
        <v>1.5</v>
      </c>
      <c r="P178" t="e">
        <f>IF(OR($M$178&lt;$N$15,$M$178&gt;$N$17),$M$178,#N/A)</f>
        <v>#N/A</v>
      </c>
      <c r="Q178" t="e">
        <f>IF(OR(AND($M$178&lt;$N$14,$M$178&gt;=$N$15),AND($M$178&gt;$N$16,$M$178&lt;=$N$17)),$M$178,#N/A)</f>
        <v>#N/A</v>
      </c>
      <c r="R178">
        <f>IF(OR(AND($M$178&lt;$N$11,$M$178&gt;=$N$14),AND($M$178&gt;$N$13,$M$178&lt;=$N$16)),$M$178,"")</f>
      </c>
    </row>
    <row r="179" spans="1:18" ht="12.75">
      <c r="A179">
        <f>IF(ISBLANK(data!N80),"",data!N80)</f>
      </c>
      <c r="C179">
        <v>1.5</v>
      </c>
      <c r="D179" t="e">
        <f>IF(OR($A$179&lt;$B$15,$A$179&gt;$B$17),$A$179,#N/A)</f>
        <v>#NUM!</v>
      </c>
      <c r="E179" t="e">
        <f>IF(OR(AND($A$179&lt;$B$14,$A$179&gt;=$B$15),AND($A$179&gt;$B$16,$A$179&lt;=$B$17)),$A$179,#N/A)</f>
        <v>#NUM!</v>
      </c>
      <c r="F179" t="e">
        <f>IF(OR(AND($A$179&lt;$B$11,$A$179&gt;=$B$14),AND($A$179&gt;$B$13,$A$179&lt;=$B$16)),$A$179,"")</f>
        <v>#NUM!</v>
      </c>
      <c r="M179">
        <f>IF(ISBLANK(data!G81),"",data!G81)</f>
        <v>0.19622624370172717</v>
      </c>
      <c r="O179">
        <v>1.5</v>
      </c>
      <c r="P179" t="e">
        <f>IF(OR($M$179&lt;$N$15,$M$179&gt;$N$17),$M$179,#N/A)</f>
        <v>#N/A</v>
      </c>
      <c r="Q179" t="e">
        <f>IF(OR(AND($M$179&lt;$N$14,$M$179&gt;=$N$15),AND($M$179&gt;$N$16,$M$179&lt;=$N$17)),$M$179,#N/A)</f>
        <v>#N/A</v>
      </c>
      <c r="R179">
        <f>IF(OR(AND($M$179&lt;$N$11,$M$179&gt;=$N$14),AND($M$179&gt;$N$13,$M$179&lt;=$N$16)),$M$179,"")</f>
        <v>0.19622624370172717</v>
      </c>
    </row>
    <row r="180" spans="1:18" ht="12.75">
      <c r="A180">
        <f>IF(ISBLANK(data!N81),"",data!N81)</f>
      </c>
      <c r="C180">
        <v>1.5</v>
      </c>
      <c r="D180" t="e">
        <f>IF(OR($A$180&lt;$B$15,$A$180&gt;$B$17),$A$180,#N/A)</f>
        <v>#NUM!</v>
      </c>
      <c r="E180" t="e">
        <f>IF(OR(AND($A$180&lt;$B$14,$A$180&gt;=$B$15),AND($A$180&gt;$B$16,$A$180&lt;=$B$17)),$A$180,#N/A)</f>
        <v>#NUM!</v>
      </c>
      <c r="F180" t="e">
        <f>IF(OR(AND($A$180&lt;$B$11,$A$180&gt;=$B$14),AND($A$180&gt;$B$13,$A$180&lt;=$B$16)),$A$180,"")</f>
        <v>#NUM!</v>
      </c>
      <c r="M180">
        <f>IF(ISBLANK(data!G82),"",data!G82)</f>
        <v>-0.07513834690550898</v>
      </c>
      <c r="O180">
        <v>1.5</v>
      </c>
      <c r="P180" t="e">
        <f>IF(OR($M$180&lt;$N$15,$M$180&gt;$N$17),$M$180,#N/A)</f>
        <v>#N/A</v>
      </c>
      <c r="Q180" t="e">
        <f>IF(OR(AND($M$180&lt;$N$14,$M$180&gt;=$N$15),AND($M$180&gt;$N$16,$M$180&lt;=$N$17)),$M$180,#N/A)</f>
        <v>#N/A</v>
      </c>
      <c r="R180">
        <f>IF(OR(AND($M$180&lt;$N$11,$M$180&gt;=$N$14),AND($M$180&gt;$N$13,$M$180&lt;=$N$16)),$M$180,"")</f>
        <v>-0.07513834690550898</v>
      </c>
    </row>
    <row r="181" spans="1:18" ht="12.75">
      <c r="A181">
        <f>IF(ISBLANK(data!N82),"",data!N82)</f>
      </c>
      <c r="C181">
        <v>1.5</v>
      </c>
      <c r="D181" t="e">
        <f>IF(OR($A$181&lt;$B$15,$A$181&gt;$B$17),$A$181,#N/A)</f>
        <v>#NUM!</v>
      </c>
      <c r="E181" t="e">
        <f>IF(OR(AND($A$181&lt;$B$14,$A$181&gt;=$B$15),AND($A$181&gt;$B$16,$A$181&lt;=$B$17)),$A$181,#N/A)</f>
        <v>#NUM!</v>
      </c>
      <c r="F181" t="e">
        <f>IF(OR(AND($A$181&lt;$B$11,$A$181&gt;=$B$14),AND($A$181&gt;$B$13,$A$181&lt;=$B$16)),$A$181,"")</f>
        <v>#NUM!</v>
      </c>
      <c r="M181">
        <f>IF(ISBLANK(data!G83),"",data!G83)</f>
        <v>0.015487638209532702</v>
      </c>
      <c r="O181">
        <v>1.5</v>
      </c>
      <c r="P181" t="e">
        <f>IF(OR($M$181&lt;$N$15,$M$181&gt;$N$17),$M$181,#N/A)</f>
        <v>#N/A</v>
      </c>
      <c r="Q181" t="e">
        <f>IF(OR(AND($M$181&lt;$N$14,$M$181&gt;=$N$15),AND($M$181&gt;$N$16,$M$181&lt;=$N$17)),$M$181,#N/A)</f>
        <v>#N/A</v>
      </c>
      <c r="R181">
        <f>IF(OR(AND($M$181&lt;$N$11,$M$181&gt;=$N$14),AND($M$181&gt;$N$13,$M$181&lt;=$N$16)),$M$181,"")</f>
      </c>
    </row>
    <row r="182" spans="1:18" ht="12.75">
      <c r="A182">
        <f>IF(ISBLANK(data!N83),"",data!N83)</f>
      </c>
      <c r="C182">
        <v>1.5</v>
      </c>
      <c r="D182" t="e">
        <f>IF(OR($A$182&lt;$B$15,$A$182&gt;$B$17),$A$182,#N/A)</f>
        <v>#NUM!</v>
      </c>
      <c r="E182" t="e">
        <f>IF(OR(AND($A$182&lt;$B$14,$A$182&gt;=$B$15),AND($A$182&gt;$B$16,$A$182&lt;=$B$17)),$A$182,#N/A)</f>
        <v>#NUM!</v>
      </c>
      <c r="F182" t="e">
        <f>IF(OR(AND($A$182&lt;$B$11,$A$182&gt;=$B$14),AND($A$182&gt;$B$13,$A$182&lt;=$B$16)),$A$182,"")</f>
        <v>#NUM!</v>
      </c>
      <c r="M182">
        <f>IF(ISBLANK(data!G84),"",data!G84)</f>
        <v>0.059650708695976405</v>
      </c>
      <c r="O182">
        <v>1.5</v>
      </c>
      <c r="P182" t="e">
        <f>IF(OR($M$182&lt;$N$15,$M$182&gt;$N$17),$M$182,#N/A)</f>
        <v>#N/A</v>
      </c>
      <c r="Q182" t="e">
        <f>IF(OR(AND($M$182&lt;$N$14,$M$182&gt;=$N$15),AND($M$182&gt;$N$16,$M$182&lt;=$N$17)),$M$182,#N/A)</f>
        <v>#N/A</v>
      </c>
      <c r="R182">
        <f>IF(OR(AND($M$182&lt;$N$11,$M$182&gt;=$N$14),AND($M$182&gt;$N$13,$M$182&lt;=$N$16)),$M$182,"")</f>
      </c>
    </row>
    <row r="183" spans="1:18" ht="12.75">
      <c r="A183">
        <f>IF(ISBLANK(data!N84),"",data!N84)</f>
      </c>
      <c r="C183">
        <v>1.5</v>
      </c>
      <c r="D183" t="e">
        <f>IF(OR($A$183&lt;$B$15,$A$183&gt;$B$17),$A$183,#N/A)</f>
        <v>#NUM!</v>
      </c>
      <c r="E183" t="e">
        <f>IF(OR(AND($A$183&lt;$B$14,$A$183&gt;=$B$15),AND($A$183&gt;$B$16,$A$183&lt;=$B$17)),$A$183,#N/A)</f>
        <v>#NUM!</v>
      </c>
      <c r="F183" t="e">
        <f>IF(OR(AND($A$183&lt;$B$11,$A$183&gt;=$B$14),AND($A$183&gt;$B$13,$A$183&lt;=$B$16)),$A$183,"")</f>
        <v>#NUM!</v>
      </c>
      <c r="M183">
        <f>IF(ISBLANK(data!G85),"",data!G85)</f>
        <v>0.27479312966384384</v>
      </c>
      <c r="O183">
        <v>1.5</v>
      </c>
      <c r="P183" t="e">
        <f>IF(OR($M$183&lt;$N$15,$M$183&gt;$N$17),$M$183,#N/A)</f>
        <v>#N/A</v>
      </c>
      <c r="Q183" t="e">
        <f>IF(OR(AND($M$183&lt;$N$14,$M$183&gt;=$N$15),AND($M$183&gt;$N$16,$M$183&lt;=$N$17)),$M$183,#N/A)</f>
        <v>#N/A</v>
      </c>
      <c r="R183">
        <f>IF(OR(AND($M$183&lt;$N$11,$M$183&gt;=$N$14),AND($M$183&gt;$N$13,$M$183&lt;=$N$16)),$M$183,"")</f>
        <v>0.27479312966384384</v>
      </c>
    </row>
    <row r="184" spans="1:18" ht="12.75">
      <c r="A184">
        <f>IF(ISBLANK(data!N85),"",data!N85)</f>
      </c>
      <c r="C184">
        <v>1.5</v>
      </c>
      <c r="D184" t="e">
        <f>IF(OR($A$184&lt;$B$15,$A$184&gt;$B$17),$A$184,#N/A)</f>
        <v>#NUM!</v>
      </c>
      <c r="E184" t="e">
        <f>IF(OR(AND($A$184&lt;$B$14,$A$184&gt;=$B$15),AND($A$184&gt;$B$16,$A$184&lt;=$B$17)),$A$184,#N/A)</f>
        <v>#NUM!</v>
      </c>
      <c r="F184" t="e">
        <f>IF(OR(AND($A$184&lt;$B$11,$A$184&gt;=$B$14),AND($A$184&gt;$B$13,$A$184&lt;=$B$16)),$A$184,"")</f>
        <v>#NUM!</v>
      </c>
      <c r="M184">
        <f>IF(ISBLANK(data!G86),"",data!G86)</f>
        <v>-0.0016934805063330315</v>
      </c>
      <c r="O184">
        <v>1.5</v>
      </c>
      <c r="P184" t="e">
        <f>IF(OR($M$184&lt;$N$15,$M$184&gt;$N$17),$M$184,#N/A)</f>
        <v>#N/A</v>
      </c>
      <c r="Q184" t="e">
        <f>IF(OR(AND($M$184&lt;$N$14,$M$184&gt;=$N$15),AND($M$184&gt;$N$16,$M$184&lt;=$N$17)),$M$184,#N/A)</f>
        <v>#N/A</v>
      </c>
      <c r="R184">
        <f>IF(OR(AND($M$184&lt;$N$11,$M$184&gt;=$N$14),AND($M$184&gt;$N$13,$M$184&lt;=$N$16)),$M$184,"")</f>
      </c>
    </row>
    <row r="185" spans="1:18" ht="12.75">
      <c r="A185">
        <f>IF(ISBLANK(data!N86),"",data!N86)</f>
      </c>
      <c r="C185">
        <v>1.5</v>
      </c>
      <c r="D185" t="e">
        <f>IF(OR($A$185&lt;$B$15,$A$185&gt;$B$17),$A$185,#N/A)</f>
        <v>#NUM!</v>
      </c>
      <c r="E185" t="e">
        <f>IF(OR(AND($A$185&lt;$B$14,$A$185&gt;=$B$15),AND($A$185&gt;$B$16,$A$185&lt;=$B$17)),$A$185,#N/A)</f>
        <v>#NUM!</v>
      </c>
      <c r="F185" t="e">
        <f>IF(OR(AND($A$185&lt;$B$11,$A$185&gt;=$B$14),AND($A$185&gt;$B$13,$A$185&lt;=$B$16)),$A$185,"")</f>
        <v>#NUM!</v>
      </c>
      <c r="M185">
        <f>IF(ISBLANK(data!G87),"",data!G87)</f>
        <v>0.01847239763544248</v>
      </c>
      <c r="O185">
        <v>1.5</v>
      </c>
      <c r="P185" t="e">
        <f>IF(OR($M$185&lt;$N$15,$M$185&gt;$N$17),$M$185,#N/A)</f>
        <v>#N/A</v>
      </c>
      <c r="Q185" t="e">
        <f>IF(OR(AND($M$185&lt;$N$14,$M$185&gt;=$N$15),AND($M$185&gt;$N$16,$M$185&lt;=$N$17)),$M$185,#N/A)</f>
        <v>#N/A</v>
      </c>
      <c r="R185">
        <f>IF(OR(AND($M$185&lt;$N$11,$M$185&gt;=$N$14),AND($M$185&gt;$N$13,$M$185&lt;=$N$16)),$M$185,"")</f>
      </c>
    </row>
    <row r="186" spans="1:18" ht="12.75">
      <c r="A186">
        <f>IF(ISBLANK(data!N87),"",data!N87)</f>
      </c>
      <c r="C186">
        <v>1.5</v>
      </c>
      <c r="D186" t="e">
        <f>IF(OR($A$186&lt;$B$15,$A$186&gt;$B$17),$A$186,#N/A)</f>
        <v>#NUM!</v>
      </c>
      <c r="E186" t="e">
        <f>IF(OR(AND($A$186&lt;$B$14,$A$186&gt;=$B$15),AND($A$186&gt;$B$16,$A$186&lt;=$B$17)),$A$186,#N/A)</f>
        <v>#NUM!</v>
      </c>
      <c r="F186" t="e">
        <f>IF(OR(AND($A$186&lt;$B$11,$A$186&gt;=$B$14),AND($A$186&gt;$B$13,$A$186&lt;=$B$16)),$A$186,"")</f>
        <v>#NUM!</v>
      </c>
      <c r="M186">
        <f>IF(ISBLANK(data!G88),"",data!G88)</f>
        <v>-0.47970108026206104</v>
      </c>
      <c r="O186">
        <v>1.5</v>
      </c>
      <c r="P186">
        <f>IF(OR($M$186&lt;$N$15,$M$186&gt;$N$17),$M$186,#N/A)</f>
        <v>-0.47970108026206104</v>
      </c>
      <c r="Q186" t="e">
        <f>IF(OR(AND($M$186&lt;$N$14,$M$186&gt;=$N$15),AND($M$186&gt;$N$16,$M$186&lt;=$N$17)),$M$186,#N/A)</f>
        <v>#N/A</v>
      </c>
      <c r="R186">
        <f>IF(OR(AND($M$186&lt;$N$11,$M$186&gt;=$N$14),AND($M$186&gt;$N$13,$M$186&lt;=$N$16)),$M$186,"")</f>
      </c>
    </row>
    <row r="187" spans="1:18" ht="12.75">
      <c r="A187">
        <f>IF(ISBLANK(data!N88),"",data!N88)</f>
      </c>
      <c r="C187">
        <v>1.5</v>
      </c>
      <c r="D187" t="e">
        <f>IF(OR($A$187&lt;$B$15,$A$187&gt;$B$17),$A$187,#N/A)</f>
        <v>#NUM!</v>
      </c>
      <c r="E187" t="e">
        <f>IF(OR(AND($A$187&lt;$B$14,$A$187&gt;=$B$15),AND($A$187&gt;$B$16,$A$187&lt;=$B$17)),$A$187,#N/A)</f>
        <v>#NUM!</v>
      </c>
      <c r="F187" t="e">
        <f>IF(OR(AND($A$187&lt;$B$11,$A$187&gt;=$B$14),AND($A$187&gt;$B$13,$A$187&lt;=$B$16)),$A$187,"")</f>
        <v>#NUM!</v>
      </c>
      <c r="M187">
        <f>IF(ISBLANK(data!G89),"",data!G89)</f>
        <v>-0.01626052087178029</v>
      </c>
      <c r="O187">
        <v>1.5</v>
      </c>
      <c r="P187" t="e">
        <f>IF(OR($M$187&lt;$N$15,$M$187&gt;$N$17),$M$187,#N/A)</f>
        <v>#N/A</v>
      </c>
      <c r="Q187" t="e">
        <f>IF(OR(AND($M$187&lt;$N$14,$M$187&gt;=$N$15),AND($M$187&gt;$N$16,$M$187&lt;=$N$17)),$M$187,#N/A)</f>
        <v>#N/A</v>
      </c>
      <c r="R187">
        <f>IF(OR(AND($M$187&lt;$N$11,$M$187&gt;=$N$14),AND($M$187&gt;$N$13,$M$187&lt;=$N$16)),$M$187,"")</f>
      </c>
    </row>
    <row r="188" spans="1:18" ht="12.75">
      <c r="A188">
        <f>IF(ISBLANK(data!N89),"",data!N89)</f>
      </c>
      <c r="C188">
        <v>1.5</v>
      </c>
      <c r="D188" t="e">
        <f>IF(OR($A$188&lt;$B$15,$A$188&gt;$B$17),$A$188,#N/A)</f>
        <v>#NUM!</v>
      </c>
      <c r="E188" t="e">
        <f>IF(OR(AND($A$188&lt;$B$14,$A$188&gt;=$B$15),AND($A$188&gt;$B$16,$A$188&lt;=$B$17)),$A$188,#N/A)</f>
        <v>#NUM!</v>
      </c>
      <c r="F188" t="e">
        <f>IF(OR(AND($A$188&lt;$B$11,$A$188&gt;=$B$14),AND($A$188&gt;$B$13,$A$188&lt;=$B$16)),$A$188,"")</f>
        <v>#NUM!</v>
      </c>
      <c r="M188">
        <f>IF(ISBLANK(data!G90),"",data!G90)</f>
        <v>0.08004069001702417</v>
      </c>
      <c r="O188">
        <v>1.5</v>
      </c>
      <c r="P188" t="e">
        <f>IF(OR($M$188&lt;$N$15,$M$188&gt;$N$17),$M$188,#N/A)</f>
        <v>#N/A</v>
      </c>
      <c r="Q188" t="e">
        <f>IF(OR(AND($M$188&lt;$N$14,$M$188&gt;=$N$15),AND($M$188&gt;$N$16,$M$188&lt;=$N$17)),$M$188,#N/A)</f>
        <v>#N/A</v>
      </c>
      <c r="R188">
        <f>IF(OR(AND($M$188&lt;$N$11,$M$188&gt;=$N$14),AND($M$188&gt;$N$13,$M$188&lt;=$N$16)),$M$188,"")</f>
      </c>
    </row>
    <row r="189" spans="1:18" ht="12.75">
      <c r="A189">
        <f>IF(ISBLANK(data!N90),"",data!N90)</f>
      </c>
      <c r="C189">
        <v>1.5</v>
      </c>
      <c r="D189" t="e">
        <f>IF(OR($A$189&lt;$B$15,$A$189&gt;$B$17),$A$189,#N/A)</f>
        <v>#NUM!</v>
      </c>
      <c r="E189" t="e">
        <f>IF(OR(AND($A$189&lt;$B$14,$A$189&gt;=$B$15),AND($A$189&gt;$B$16,$A$189&lt;=$B$17)),$A$189,#N/A)</f>
        <v>#NUM!</v>
      </c>
      <c r="F189" t="e">
        <f>IF(OR(AND($A$189&lt;$B$11,$A$189&gt;=$B$14),AND($A$189&gt;$B$13,$A$189&lt;=$B$16)),$A$189,"")</f>
        <v>#NUM!</v>
      </c>
      <c r="M189">
        <f>IF(ISBLANK(data!G91),"",data!G91)</f>
        <v>0.0926720076702937</v>
      </c>
      <c r="O189">
        <v>1.5</v>
      </c>
      <c r="P189" t="e">
        <f>IF(OR($M$189&lt;$N$15,$M$189&gt;$N$17),$M$189,#N/A)</f>
        <v>#N/A</v>
      </c>
      <c r="Q189" t="e">
        <f>IF(OR(AND($M$189&lt;$N$14,$M$189&gt;=$N$15),AND($M$189&gt;$N$16,$M$189&lt;=$N$17)),$M$189,#N/A)</f>
        <v>#N/A</v>
      </c>
      <c r="R189">
        <f>IF(OR(AND($M$189&lt;$N$11,$M$189&gt;=$N$14),AND($M$189&gt;$N$13,$M$189&lt;=$N$16)),$M$189,"")</f>
      </c>
    </row>
    <row r="190" spans="1:18" ht="12.75">
      <c r="A190">
        <f>IF(ISBLANK(data!N91),"",data!N91)</f>
      </c>
      <c r="C190">
        <v>1.5</v>
      </c>
      <c r="D190" t="e">
        <f>IF(OR($A$190&lt;$B$15,$A$190&gt;$B$17),$A$190,#N/A)</f>
        <v>#NUM!</v>
      </c>
      <c r="E190" t="e">
        <f>IF(OR(AND($A$190&lt;$B$14,$A$190&gt;=$B$15),AND($A$190&gt;$B$16,$A$190&lt;=$B$17)),$A$190,#N/A)</f>
        <v>#NUM!</v>
      </c>
      <c r="F190" t="e">
        <f>IF(OR(AND($A$190&lt;$B$11,$A$190&gt;=$B$14),AND($A$190&gt;$B$13,$A$190&lt;=$B$16)),$A$190,"")</f>
        <v>#NUM!</v>
      </c>
      <c r="M190">
        <f>IF(ISBLANK(data!G92),"",data!G92)</f>
        <v>-0.023256862164267235</v>
      </c>
      <c r="O190">
        <v>1.5</v>
      </c>
      <c r="P190" t="e">
        <f>IF(OR($M$190&lt;$N$15,$M$190&gt;$N$17),$M$190,#N/A)</f>
        <v>#N/A</v>
      </c>
      <c r="Q190" t="e">
        <f>IF(OR(AND($M$190&lt;$N$14,$M$190&gt;=$N$15),AND($M$190&gt;$N$16,$M$190&lt;=$N$17)),$M$190,#N/A)</f>
        <v>#N/A</v>
      </c>
      <c r="R190">
        <f>IF(OR(AND($M$190&lt;$N$11,$M$190&gt;=$N$14),AND($M$190&gt;$N$13,$M$190&lt;=$N$16)),$M$190,"")</f>
      </c>
    </row>
    <row r="191" spans="1:18" ht="12.75">
      <c r="A191">
        <f>IF(ISBLANK(data!N92),"",data!N92)</f>
      </c>
      <c r="C191">
        <v>1.5</v>
      </c>
      <c r="D191" t="e">
        <f>IF(OR($A$191&lt;$B$15,$A$191&gt;$B$17),$A$191,#N/A)</f>
        <v>#NUM!</v>
      </c>
      <c r="E191" t="e">
        <f>IF(OR(AND($A$191&lt;$B$14,$A$191&gt;=$B$15),AND($A$191&gt;$B$16,$A$191&lt;=$B$17)),$A$191,#N/A)</f>
        <v>#NUM!</v>
      </c>
      <c r="F191" t="e">
        <f>IF(OR(AND($A$191&lt;$B$11,$A$191&gt;=$B$14),AND($A$191&gt;$B$13,$A$191&lt;=$B$16)),$A$191,"")</f>
        <v>#NUM!</v>
      </c>
      <c r="M191">
        <f>IF(ISBLANK(data!G93),"",data!G93)</f>
        <v>-0.09108382930114337</v>
      </c>
      <c r="O191">
        <v>1.5</v>
      </c>
      <c r="P191" t="e">
        <f>IF(OR($M$191&lt;$N$15,$M$191&gt;$N$17),$M$191,#N/A)</f>
        <v>#N/A</v>
      </c>
      <c r="Q191" t="e">
        <f>IF(OR(AND($M$191&lt;$N$14,$M$191&gt;=$N$15),AND($M$191&gt;$N$16,$M$191&lt;=$N$17)),$M$191,#N/A)</f>
        <v>#N/A</v>
      </c>
      <c r="R191">
        <f>IF(OR(AND($M$191&lt;$N$11,$M$191&gt;=$N$14),AND($M$191&gt;$N$13,$M$191&lt;=$N$16)),$M$191,"")</f>
        <v>-0.09108382930114337</v>
      </c>
    </row>
    <row r="192" spans="1:18" ht="12.75">
      <c r="A192">
        <f>IF(ISBLANK(data!N93),"",data!N93)</f>
      </c>
      <c r="C192">
        <v>1.5</v>
      </c>
      <c r="D192" t="e">
        <f>IF(OR($A$192&lt;$B$15,$A$192&gt;$B$17),$A$192,#N/A)</f>
        <v>#NUM!</v>
      </c>
      <c r="E192" t="e">
        <f>IF(OR(AND($A$192&lt;$B$14,$A$192&gt;=$B$15),AND($A$192&gt;$B$16,$A$192&lt;=$B$17)),$A$192,#N/A)</f>
        <v>#NUM!</v>
      </c>
      <c r="F192" t="e">
        <f>IF(OR(AND($A$192&lt;$B$11,$A$192&gt;=$B$14),AND($A$192&gt;$B$13,$A$192&lt;=$B$16)),$A$192,"")</f>
        <v>#NUM!</v>
      </c>
      <c r="M192">
        <f>IF(ISBLANK(data!G94),"",data!G94)</f>
        <v>0.27731928541623435</v>
      </c>
      <c r="O192">
        <v>1.5</v>
      </c>
      <c r="P192" t="e">
        <f>IF(OR($M$192&lt;$N$15,$M$192&gt;$N$17),$M$192,#N/A)</f>
        <v>#N/A</v>
      </c>
      <c r="Q192" t="e">
        <f>IF(OR(AND($M$192&lt;$N$14,$M$192&gt;=$N$15),AND($M$192&gt;$N$16,$M$192&lt;=$N$17)),$M$192,#N/A)</f>
        <v>#N/A</v>
      </c>
      <c r="R192">
        <f>IF(OR(AND($M$192&lt;$N$11,$M$192&gt;=$N$14),AND($M$192&gt;$N$13,$M$192&lt;=$N$16)),$M$192,"")</f>
        <v>0.27731928541623435</v>
      </c>
    </row>
    <row r="193" spans="1:18" ht="12.75">
      <c r="A193">
        <f>IF(ISBLANK(data!N94),"",data!N94)</f>
      </c>
      <c r="C193">
        <v>1.5</v>
      </c>
      <c r="D193" t="e">
        <f>IF(OR($A$193&lt;$B$15,$A$193&gt;$B$17),$A$193,#N/A)</f>
        <v>#NUM!</v>
      </c>
      <c r="E193" t="e">
        <f>IF(OR(AND($A$193&lt;$B$14,$A$193&gt;=$B$15),AND($A$193&gt;$B$16,$A$193&lt;=$B$17)),$A$193,#N/A)</f>
        <v>#NUM!</v>
      </c>
      <c r="F193" t="e">
        <f>IF(OR(AND($A$193&lt;$B$11,$A$193&gt;=$B$14),AND($A$193&gt;$B$13,$A$193&lt;=$B$16)),$A$193,"")</f>
        <v>#NUM!</v>
      </c>
      <c r="M193">
        <f>IF(ISBLANK(data!G95),"",data!G95)</f>
        <v>0.0931772248541833</v>
      </c>
      <c r="O193">
        <v>1.5</v>
      </c>
      <c r="P193" t="e">
        <f>IF(OR($M$193&lt;$N$15,$M$193&gt;$N$17),$M$193,#N/A)</f>
        <v>#N/A</v>
      </c>
      <c r="Q193" t="e">
        <f>IF(OR(AND($M$193&lt;$N$14,$M$193&gt;=$N$15),AND($M$193&gt;$N$16,$M$193&lt;=$N$17)),$M$193,#N/A)</f>
        <v>#N/A</v>
      </c>
      <c r="R193">
        <f>IF(OR(AND($M$193&lt;$N$11,$M$193&gt;=$N$14),AND($M$193&gt;$N$13,$M$193&lt;=$N$16)),$M$193,"")</f>
      </c>
    </row>
    <row r="194" spans="1:18" ht="12.75">
      <c r="A194">
        <f>IF(ISBLANK(data!N95),"",data!N95)</f>
      </c>
      <c r="C194">
        <v>1.5</v>
      </c>
      <c r="D194" t="e">
        <f>IF(OR($A$194&lt;$B$15,$A$194&gt;$B$17),$A$194,#N/A)</f>
        <v>#NUM!</v>
      </c>
      <c r="E194" t="e">
        <f>IF(OR(AND($A$194&lt;$B$14,$A$194&gt;=$B$15),AND($A$194&gt;$B$16,$A$194&lt;=$B$17)),$A$194,#N/A)</f>
        <v>#NUM!</v>
      </c>
      <c r="F194" t="e">
        <f>IF(OR(AND($A$194&lt;$B$11,$A$194&gt;=$B$14),AND($A$194&gt;$B$13,$A$194&lt;=$B$16)),$A$194,"")</f>
        <v>#NUM!</v>
      </c>
      <c r="M194">
        <f>IF(ISBLANK(data!G96),"",data!G96)</f>
        <v>0.24357399070592925</v>
      </c>
      <c r="O194">
        <v>1.5</v>
      </c>
      <c r="P194" t="e">
        <f>IF(OR($M$194&lt;$N$15,$M$194&gt;$N$17),$M$194,#N/A)</f>
        <v>#N/A</v>
      </c>
      <c r="Q194" t="e">
        <f>IF(OR(AND($M$194&lt;$N$14,$M$194&gt;=$N$15),AND($M$194&gt;$N$16,$M$194&lt;=$N$17)),$M$194,#N/A)</f>
        <v>#N/A</v>
      </c>
      <c r="R194">
        <f>IF(OR(AND($M$194&lt;$N$11,$M$194&gt;=$N$14),AND($M$194&gt;$N$13,$M$194&lt;=$N$16)),$M$194,"")</f>
        <v>0.24357399070592925</v>
      </c>
    </row>
    <row r="195" spans="1:18" ht="12.75">
      <c r="A195">
        <f>IF(ISBLANK(data!N96),"",data!N96)</f>
      </c>
      <c r="C195">
        <v>1.5</v>
      </c>
      <c r="D195" t="e">
        <f>IF(OR($A$195&lt;$B$15,$A$195&gt;$B$17),$A$195,#N/A)</f>
        <v>#NUM!</v>
      </c>
      <c r="E195" t="e">
        <f>IF(OR(AND($A$195&lt;$B$14,$A$195&gt;=$B$15),AND($A$195&gt;$B$16,$A$195&lt;=$B$17)),$A$195,#N/A)</f>
        <v>#NUM!</v>
      </c>
      <c r="F195" t="e">
        <f>IF(OR(AND($A$195&lt;$B$11,$A$195&gt;=$B$14),AND($A$195&gt;$B$13,$A$195&lt;=$B$16)),$A$195,"")</f>
        <v>#NUM!</v>
      </c>
      <c r="M195">
        <f>IF(ISBLANK(data!G97),"",data!G97)</f>
        <v>-0.39350676938258555</v>
      </c>
      <c r="O195">
        <v>1.5</v>
      </c>
      <c r="P195" t="e">
        <f>IF(OR($M$195&lt;$N$15,$M$195&gt;$N$17),$M$195,#N/A)</f>
        <v>#N/A</v>
      </c>
      <c r="Q195">
        <f>IF(OR(AND($M$195&lt;$N$14,$M$195&gt;=$N$15),AND($M$195&gt;$N$16,$M$195&lt;=$N$17)),$M$195,#N/A)</f>
        <v>-0.39350676938258555</v>
      </c>
      <c r="R195">
        <f>IF(OR(AND($M$195&lt;$N$11,$M$195&gt;=$N$14),AND($M$195&gt;$N$13,$M$195&lt;=$N$16)),$M$195,"")</f>
      </c>
    </row>
    <row r="196" spans="1:18" ht="12.75">
      <c r="A196">
        <f>IF(ISBLANK(data!N97),"",data!N97)</f>
      </c>
      <c r="C196">
        <v>1.5</v>
      </c>
      <c r="D196" t="e">
        <f>IF(OR($A$196&lt;$B$15,$A$196&gt;$B$17),$A$196,#N/A)</f>
        <v>#NUM!</v>
      </c>
      <c r="E196" t="e">
        <f>IF(OR(AND($A$196&lt;$B$14,$A$196&gt;=$B$15),AND($A$196&gt;$B$16,$A$196&lt;=$B$17)),$A$196,#N/A)</f>
        <v>#NUM!</v>
      </c>
      <c r="F196" t="e">
        <f>IF(OR(AND($A$196&lt;$B$11,$A$196&gt;=$B$14),AND($A$196&gt;$B$13,$A$196&lt;=$B$16)),$A$196,"")</f>
        <v>#NUM!</v>
      </c>
      <c r="M196">
        <f>IF(ISBLANK(data!G98),"",data!G98)</f>
        <v>0.11738017563890785</v>
      </c>
      <c r="O196">
        <v>1.5</v>
      </c>
      <c r="P196" t="e">
        <f>IF(OR($M$196&lt;$N$15,$M$196&gt;$N$17),$M$196,#N/A)</f>
        <v>#N/A</v>
      </c>
      <c r="Q196" t="e">
        <f>IF(OR(AND($M$196&lt;$N$14,$M$196&gt;=$N$15),AND($M$196&gt;$N$16,$M$196&lt;=$N$17)),$M$196,#N/A)</f>
        <v>#N/A</v>
      </c>
      <c r="R196">
        <f>IF(OR(AND($M$196&lt;$N$11,$M$196&gt;=$N$14),AND($M$196&gt;$N$13,$M$196&lt;=$N$16)),$M$196,"")</f>
        <v>0.11738017563890785</v>
      </c>
    </row>
    <row r="197" spans="1:18" ht="12.75">
      <c r="A197">
        <f>IF(ISBLANK(data!N98),"",data!N98)</f>
      </c>
      <c r="C197">
        <v>1.5</v>
      </c>
      <c r="D197" t="e">
        <f>IF(OR($A$197&lt;$B$15,$A$197&gt;$B$17),$A$197,#N/A)</f>
        <v>#NUM!</v>
      </c>
      <c r="E197" t="e">
        <f>IF(OR(AND($A$197&lt;$B$14,$A$197&gt;=$B$15),AND($A$197&gt;$B$16,$A$197&lt;=$B$17)),$A$197,#N/A)</f>
        <v>#NUM!</v>
      </c>
      <c r="F197" t="e">
        <f>IF(OR(AND($A$197&lt;$B$11,$A$197&gt;=$B$14),AND($A$197&gt;$B$13,$A$197&lt;=$B$16)),$A$197,"")</f>
        <v>#NUM!</v>
      </c>
      <c r="M197">
        <f>IF(ISBLANK(data!G99),"",data!G99)</f>
        <v>0.1161477123156526</v>
      </c>
      <c r="O197">
        <v>1.5</v>
      </c>
      <c r="P197" t="e">
        <f>IF(OR($M$197&lt;$N$15,$M$197&gt;$N$17),$M$197,#N/A)</f>
        <v>#N/A</v>
      </c>
      <c r="Q197" t="e">
        <f>IF(OR(AND($M$197&lt;$N$14,$M$197&gt;=$N$15),AND($M$197&gt;$N$16,$M$197&lt;=$N$17)),$M$197,#N/A)</f>
        <v>#N/A</v>
      </c>
      <c r="R197">
        <f>IF(OR(AND($M$197&lt;$N$11,$M$197&gt;=$N$14),AND($M$197&gt;$N$13,$M$197&lt;=$N$16)),$M$197,"")</f>
        <v>0.1161477123156526</v>
      </c>
    </row>
    <row r="198" spans="1:18" ht="12.75">
      <c r="A198">
        <f>IF(ISBLANK(data!N99),"",data!N99)</f>
      </c>
      <c r="C198">
        <v>1.5</v>
      </c>
      <c r="D198" t="e">
        <f>IF(OR($A$198&lt;$B$15,$A$198&gt;$B$17),$A$198,#N/A)</f>
        <v>#NUM!</v>
      </c>
      <c r="E198" t="e">
        <f>IF(OR(AND($A$198&lt;$B$14,$A$198&gt;=$B$15),AND($A$198&gt;$B$16,$A$198&lt;=$B$17)),$A$198,#N/A)</f>
        <v>#NUM!</v>
      </c>
      <c r="F198" t="e">
        <f>IF(OR(AND($A$198&lt;$B$11,$A$198&gt;=$B$14),AND($A$198&gt;$B$13,$A$198&lt;=$B$16)),$A$198,"")</f>
        <v>#NUM!</v>
      </c>
      <c r="M198">
        <f>IF(ISBLANK(data!G100),"",data!G100)</f>
        <v>-0.018167303955448938</v>
      </c>
      <c r="O198">
        <v>1.5</v>
      </c>
      <c r="P198" t="e">
        <f>IF(OR($M$198&lt;$N$15,$M$198&gt;$N$17),$M$198,#N/A)</f>
        <v>#N/A</v>
      </c>
      <c r="Q198" t="e">
        <f>IF(OR(AND($M$198&lt;$N$14,$M$198&gt;=$N$15),AND($M$198&gt;$N$16,$M$198&lt;=$N$17)),$M$198,#N/A)</f>
        <v>#N/A</v>
      </c>
      <c r="R198">
        <f>IF(OR(AND($M$198&lt;$N$11,$M$198&gt;=$N$14),AND($M$198&gt;$N$13,$M$198&lt;=$N$16)),$M$198,"")</f>
      </c>
    </row>
    <row r="199" spans="1:18" ht="12.75">
      <c r="A199">
        <f>IF(ISBLANK(data!N100),"",data!N100)</f>
      </c>
      <c r="C199">
        <v>1.5</v>
      </c>
      <c r="D199" t="e">
        <f>IF(OR($A$199&lt;$B$15,$A$199&gt;$B$17),$A$199,#N/A)</f>
        <v>#NUM!</v>
      </c>
      <c r="E199" t="e">
        <f>IF(OR(AND($A$199&lt;$B$14,$A$199&gt;=$B$15),AND($A$199&gt;$B$16,$A$199&lt;=$B$17)),$A$199,#N/A)</f>
        <v>#NUM!</v>
      </c>
      <c r="F199" t="e">
        <f>IF(OR(AND($A$199&lt;$B$11,$A$199&gt;=$B$14),AND($A$199&gt;$B$13,$A$199&lt;=$B$16)),$A$199,"")</f>
        <v>#NUM!</v>
      </c>
      <c r="M199">
        <f>IF(ISBLANK(data!G101),"",data!G101)</f>
        <v>-0.023609865639133736</v>
      </c>
      <c r="O199">
        <v>1.5</v>
      </c>
      <c r="P199" t="e">
        <f>IF(OR($M$199&lt;$N$15,$M$199&gt;$N$17),$M$199,#N/A)</f>
        <v>#N/A</v>
      </c>
      <c r="Q199" t="e">
        <f>IF(OR(AND($M$199&lt;$N$14,$M$199&gt;=$N$15),AND($M$199&gt;$N$16,$M$199&lt;=$N$17)),$M$199,#N/A)</f>
        <v>#N/A</v>
      </c>
      <c r="R199">
        <f>IF(OR(AND($M$199&lt;$N$11,$M$199&gt;=$N$14),AND($M$199&gt;$N$13,$M$199&lt;=$N$16)),$M$199,"")</f>
        <v>-0.023609865639133736</v>
      </c>
    </row>
    <row r="200" spans="1:18" ht="12.75">
      <c r="A200">
        <f>IF(ISBLANK(data!N101),"",data!N101)</f>
      </c>
      <c r="C200">
        <v>1.5</v>
      </c>
      <c r="D200" t="e">
        <f>IF(OR($A$200&lt;$B$15,$A$200&gt;$B$17),$A$200,#N/A)</f>
        <v>#NUM!</v>
      </c>
      <c r="E200" t="e">
        <f>IF(OR(AND($A$200&lt;$B$14,$A$200&gt;=$B$15),AND($A$200&gt;$B$16,$A$200&lt;=$B$17)),$A$200,#N/A)</f>
        <v>#NUM!</v>
      </c>
      <c r="F200" t="e">
        <f>IF(OR(AND($A$200&lt;$B$11,$A$200&gt;=$B$14),AND($A$200&gt;$B$13,$A$200&lt;=$B$16)),$A$200,"")</f>
        <v>#NUM!</v>
      </c>
      <c r="M200">
        <f>IF(ISBLANK(data!G102),"",data!G102)</f>
        <v>0.08970966734365739</v>
      </c>
      <c r="O200">
        <v>1.5</v>
      </c>
      <c r="P200" t="e">
        <f>IF(OR($M$200&lt;$N$15,$M$200&gt;$N$17),$M$200,#N/A)</f>
        <v>#N/A</v>
      </c>
      <c r="Q200" t="e">
        <f>IF(OR(AND($M$200&lt;$N$14,$M$200&gt;=$N$15),AND($M$200&gt;$N$16,$M$200&lt;=$N$17)),$M$200,#N/A)</f>
        <v>#N/A</v>
      </c>
      <c r="R200">
        <f>IF(OR(AND($M$200&lt;$N$11,$M$200&gt;=$N$14),AND($M$200&gt;$N$13,$M$200&lt;=$N$16)),$M$200,"")</f>
      </c>
    </row>
    <row r="201" spans="1:18" ht="12.75">
      <c r="A201">
        <f>IF(ISBLANK(data!N102),"",data!N102)</f>
      </c>
      <c r="C201">
        <v>1.5</v>
      </c>
      <c r="D201" t="e">
        <f>IF(OR($A$201&lt;$B$15,$A$201&gt;$B$17),$A$201,#N/A)</f>
        <v>#NUM!</v>
      </c>
      <c r="E201" t="e">
        <f>IF(OR(AND($A$201&lt;$B$14,$A$201&gt;=$B$15),AND($A$201&gt;$B$16,$A$201&lt;=$B$17)),$A$201,#N/A)</f>
        <v>#NUM!</v>
      </c>
      <c r="F201" t="e">
        <f>IF(OR(AND($A$201&lt;$B$11,$A$201&gt;=$B$14),AND($A$201&gt;$B$13,$A$201&lt;=$B$16)),$A$201,"")</f>
        <v>#NUM!</v>
      </c>
      <c r="M201">
        <f>IF(ISBLANK(data!G103),"",data!G103)</f>
        <v>0.1092530857733377</v>
      </c>
      <c r="O201">
        <v>1.5</v>
      </c>
      <c r="P201" t="e">
        <f>IF(OR($M$201&lt;$N$15,$M$201&gt;$N$17),$M$201,#N/A)</f>
        <v>#N/A</v>
      </c>
      <c r="Q201" t="e">
        <f>IF(OR(AND($M$201&lt;$N$14,$M$201&gt;=$N$15),AND($M$201&gt;$N$16,$M$201&lt;=$N$17)),$M$201,#N/A)</f>
        <v>#N/A</v>
      </c>
      <c r="R201">
        <f>IF(OR(AND($M$201&lt;$N$11,$M$201&gt;=$N$14),AND($M$201&gt;$N$13,$M$201&lt;=$N$16)),$M$201,"")</f>
        <v>0.1092530857733377</v>
      </c>
    </row>
    <row r="202" spans="1:18" ht="12.75">
      <c r="A202">
        <f>IF(ISBLANK(data!I4),"",data!I4)</f>
        <v>0.038618362837734996</v>
      </c>
      <c r="C202">
        <v>2.5</v>
      </c>
      <c r="D202" t="e">
        <f>IF(OR($A$202&lt;$B$24,$A$202&gt;$B$26),$A$202,#N/A)</f>
        <v>#N/A</v>
      </c>
      <c r="E202" t="e">
        <f>IF(OR(AND($A$202&lt;$B$23,$A$202&gt;=$B$24),AND($A$202&gt;$B$25,$A$202&lt;=$B$26)),$A$202,#N/A)</f>
        <v>#N/A</v>
      </c>
      <c r="F202">
        <f>IF(OR(AND($A$202&lt;$B$20,$A$202&gt;=$B$23),AND($A$202&gt;$B$22,$A$202&lt;=$B$25)),$A$202,"")</f>
        <v>0.038618362837734996</v>
      </c>
      <c r="M202">
        <f>IF(ISBLANK(data!I4),"",data!I4)</f>
        <v>0.038618362837734996</v>
      </c>
      <c r="O202">
        <v>2.5</v>
      </c>
      <c r="P202" t="e">
        <f>IF(OR($M$202&lt;$N$24,$M$202&gt;$N$26),$M$202,#N/A)</f>
        <v>#N/A</v>
      </c>
      <c r="Q202" t="e">
        <f>IF(OR(AND($M$202&lt;$N$23,$M$202&gt;=$N$24),AND($M$202&gt;$N$25,$M$202&lt;=$N$26)),$M$202,#N/A)</f>
        <v>#N/A</v>
      </c>
      <c r="R202">
        <f>IF(OR(AND($M$202&lt;$N$20,$M$202&gt;=$N$23),AND($M$202&gt;$N$22,$M$202&lt;=$N$25)),$M$202,"")</f>
        <v>0.038618362837734996</v>
      </c>
    </row>
    <row r="203" spans="1:18" ht="12.75">
      <c r="A203">
        <f>IF(ISBLANK(data!I5),"",data!I5)</f>
        <v>-0.024290180670616498</v>
      </c>
      <c r="C203">
        <v>2.5</v>
      </c>
      <c r="D203" t="e">
        <f>IF(OR($A$203&lt;$B$24,$A$203&gt;$B$26),$A$203,#N/A)</f>
        <v>#N/A</v>
      </c>
      <c r="E203" t="e">
        <f>IF(OR(AND($A$203&lt;$B$23,$A$203&gt;=$B$24),AND($A$203&gt;$B$25,$A$203&lt;=$B$26)),$A$203,#N/A)</f>
        <v>#N/A</v>
      </c>
      <c r="F203">
        <f>IF(OR(AND($A$203&lt;$B$20,$A$203&gt;=$B$23),AND($A$203&gt;$B$22,$A$203&lt;=$B$25)),$A$203,"")</f>
        <v>-0.024290180670616498</v>
      </c>
      <c r="M203">
        <f>IF(ISBLANK(data!I5),"",data!I5)</f>
        <v>-0.024290180670616498</v>
      </c>
      <c r="O203">
        <v>2.5</v>
      </c>
      <c r="P203" t="e">
        <f>IF(OR($M$203&lt;$N$24,$M$203&gt;$N$26),$M$203,#N/A)</f>
        <v>#N/A</v>
      </c>
      <c r="Q203" t="e">
        <f>IF(OR(AND($M$203&lt;$N$23,$M$203&gt;=$N$24),AND($M$203&gt;$N$25,$M$203&lt;=$N$26)),$M$203,#N/A)</f>
        <v>#N/A</v>
      </c>
      <c r="R203">
        <f>IF(OR(AND($M$203&lt;$N$20,$M$203&gt;=$N$23),AND($M$203&gt;$N$22,$M$203&lt;=$N$25)),$M$203,"")</f>
        <v>-0.024290180670616498</v>
      </c>
    </row>
    <row r="204" spans="1:18" ht="12.75">
      <c r="A204">
        <f>IF(ISBLANK(data!I6),"",data!I6)</f>
        <v>0.0090644141544072</v>
      </c>
      <c r="C204">
        <v>2.5</v>
      </c>
      <c r="D204" t="e">
        <f>IF(OR($A$204&lt;$B$24,$A$204&gt;$B$26),$A$204,#N/A)</f>
        <v>#N/A</v>
      </c>
      <c r="E204" t="e">
        <f>IF(OR(AND($A$204&lt;$B$23,$A$204&gt;=$B$24),AND($A$204&gt;$B$25,$A$204&lt;=$B$26)),$A$204,#N/A)</f>
        <v>#N/A</v>
      </c>
      <c r="F204">
        <f>IF(OR(AND($A$204&lt;$B$20,$A$204&gt;=$B$23),AND($A$204&gt;$B$22,$A$204&lt;=$B$25)),$A$204,"")</f>
      </c>
      <c r="M204">
        <f>IF(ISBLANK(data!I6),"",data!I6)</f>
        <v>0.0090644141544072</v>
      </c>
      <c r="O204">
        <v>2.5</v>
      </c>
      <c r="P204" t="e">
        <f>IF(OR($M$204&lt;$N$24,$M$204&gt;$N$26),$M$204,#N/A)</f>
        <v>#N/A</v>
      </c>
      <c r="Q204" t="e">
        <f>IF(OR(AND($M$204&lt;$N$23,$M$204&gt;=$N$24),AND($M$204&gt;$N$25,$M$204&lt;=$N$26)),$M$204,#N/A)</f>
        <v>#N/A</v>
      </c>
      <c r="R204">
        <f>IF(OR(AND($M$204&lt;$N$20,$M$204&gt;=$N$23),AND($M$204&gt;$N$22,$M$204&lt;=$N$25)),$M$204,"")</f>
      </c>
    </row>
    <row r="205" spans="1:18" ht="12.75">
      <c r="A205">
        <f>IF(ISBLANK(data!I7),"",data!I7)</f>
        <v>0.00210405586421754</v>
      </c>
      <c r="C205">
        <v>2.5</v>
      </c>
      <c r="D205" t="e">
        <f>IF(OR($A$205&lt;$B$24,$A$205&gt;$B$26),$A$205,#N/A)</f>
        <v>#N/A</v>
      </c>
      <c r="E205" t="e">
        <f>IF(OR(AND($A$205&lt;$B$23,$A$205&gt;=$B$24),AND($A$205&gt;$B$25,$A$205&lt;=$B$26)),$A$205,#N/A)</f>
        <v>#N/A</v>
      </c>
      <c r="F205">
        <f>IF(OR(AND($A$205&lt;$B$20,$A$205&gt;=$B$23),AND($A$205&gt;$B$22,$A$205&lt;=$B$25)),$A$205,"")</f>
      </c>
      <c r="M205">
        <f>IF(ISBLANK(data!I7),"",data!I7)</f>
        <v>0.00210405586421754</v>
      </c>
      <c r="O205">
        <v>2.5</v>
      </c>
      <c r="P205" t="e">
        <f>IF(OR($M$205&lt;$N$24,$M$205&gt;$N$26),$M$205,#N/A)</f>
        <v>#N/A</v>
      </c>
      <c r="Q205" t="e">
        <f>IF(OR(AND($M$205&lt;$N$23,$M$205&gt;=$N$24),AND($M$205&gt;$N$25,$M$205&lt;=$N$26)),$M$205,#N/A)</f>
        <v>#N/A</v>
      </c>
      <c r="R205">
        <f>IF(OR(AND($M$205&lt;$N$20,$M$205&gt;=$N$23),AND($M$205&gt;$N$22,$M$205&lt;=$N$25)),$M$205,"")</f>
      </c>
    </row>
    <row r="206" spans="1:18" ht="12.75">
      <c r="A206">
        <f>IF(ISBLANK(data!I8),"",data!I8)</f>
        <v>0.029812920535904664</v>
      </c>
      <c r="C206">
        <v>2.5</v>
      </c>
      <c r="D206" t="e">
        <f>IF(OR($A$206&lt;$B$24,$A$206&gt;$B$26),$A$206,#N/A)</f>
        <v>#N/A</v>
      </c>
      <c r="E206" t="e">
        <f>IF(OR(AND($A$206&lt;$B$23,$A$206&gt;=$B$24),AND($A$206&gt;$B$25,$A$206&lt;=$B$26)),$A$206,#N/A)</f>
        <v>#N/A</v>
      </c>
      <c r="F206">
        <f>IF(OR(AND($A$206&lt;$B$20,$A$206&gt;=$B$23),AND($A$206&gt;$B$22,$A$206&lt;=$B$25)),$A$206,"")</f>
      </c>
      <c r="M206">
        <f>IF(ISBLANK(data!I8),"",data!I8)</f>
        <v>0.029812920535904664</v>
      </c>
      <c r="O206">
        <v>2.5</v>
      </c>
      <c r="P206" t="e">
        <f>IF(OR($M$206&lt;$N$24,$M$206&gt;$N$26),$M$206,#N/A)</f>
        <v>#N/A</v>
      </c>
      <c r="Q206" t="e">
        <f>IF(OR(AND($M$206&lt;$N$23,$M$206&gt;=$N$24),AND($M$206&gt;$N$25,$M$206&lt;=$N$26)),$M$206,#N/A)</f>
        <v>#N/A</v>
      </c>
      <c r="R206">
        <f>IF(OR(AND($M$206&lt;$N$20,$M$206&gt;=$N$23),AND($M$206&gt;$N$22,$M$206&lt;=$N$25)),$M$206,"")</f>
      </c>
    </row>
    <row r="207" spans="1:18" ht="12.75">
      <c r="A207">
        <f>IF(ISBLANK(data!I9),"",data!I9)</f>
        <v>0.010057058909607923</v>
      </c>
      <c r="C207">
        <v>2.5</v>
      </c>
      <c r="D207" t="e">
        <f>IF(OR($A$207&lt;$B$24,$A$207&gt;$B$26),$A$207,#N/A)</f>
        <v>#N/A</v>
      </c>
      <c r="E207" t="e">
        <f>IF(OR(AND($A$207&lt;$B$23,$A$207&gt;=$B$24),AND($A$207&gt;$B$25,$A$207&lt;=$B$26)),$A$207,#N/A)</f>
        <v>#N/A</v>
      </c>
      <c r="F207">
        <f>IF(OR(AND($A$207&lt;$B$20,$A$207&gt;=$B$23),AND($A$207&gt;$B$22,$A$207&lt;=$B$25)),$A$207,"")</f>
      </c>
      <c r="M207">
        <f>IF(ISBLANK(data!I9),"",data!I9)</f>
        <v>0.010057058909607923</v>
      </c>
      <c r="O207">
        <v>2.5</v>
      </c>
      <c r="P207" t="e">
        <f>IF(OR($M$207&lt;$N$24,$M$207&gt;$N$26),$M$207,#N/A)</f>
        <v>#N/A</v>
      </c>
      <c r="Q207" t="e">
        <f>IF(OR(AND($M$207&lt;$N$23,$M$207&gt;=$N$24),AND($M$207&gt;$N$25,$M$207&lt;=$N$26)),$M$207,#N/A)</f>
        <v>#N/A</v>
      </c>
      <c r="R207">
        <f>IF(OR(AND($M$207&lt;$N$20,$M$207&gt;=$N$23),AND($M$207&gt;$N$22,$M$207&lt;=$N$25)),$M$207,"")</f>
      </c>
    </row>
    <row r="208" spans="1:18" ht="12.75">
      <c r="A208">
        <f>IF(ISBLANK(data!I10),"",data!I10)</f>
        <v>0.007021264078719025</v>
      </c>
      <c r="C208">
        <v>2.5</v>
      </c>
      <c r="D208" t="e">
        <f>IF(OR($A$208&lt;$B$24,$A$208&gt;$B$26),$A$208,#N/A)</f>
        <v>#N/A</v>
      </c>
      <c r="E208" t="e">
        <f>IF(OR(AND($A$208&lt;$B$23,$A$208&gt;=$B$24),AND($A$208&gt;$B$25,$A$208&lt;=$B$26)),$A$208,#N/A)</f>
        <v>#N/A</v>
      </c>
      <c r="F208">
        <f>IF(OR(AND($A$208&lt;$B$20,$A$208&gt;=$B$23),AND($A$208&gt;$B$22,$A$208&lt;=$B$25)),$A$208,"")</f>
      </c>
      <c r="M208">
        <f>IF(ISBLANK(data!I10),"",data!I10)</f>
        <v>0.007021264078719025</v>
      </c>
      <c r="O208">
        <v>2.5</v>
      </c>
      <c r="P208" t="e">
        <f>IF(OR($M$208&lt;$N$24,$M$208&gt;$N$26),$M$208,#N/A)</f>
        <v>#N/A</v>
      </c>
      <c r="Q208" t="e">
        <f>IF(OR(AND($M$208&lt;$N$23,$M$208&gt;=$N$24),AND($M$208&gt;$N$25,$M$208&lt;=$N$26)),$M$208,#N/A)</f>
        <v>#N/A</v>
      </c>
      <c r="R208">
        <f>IF(OR(AND($M$208&lt;$N$20,$M$208&gt;=$N$23),AND($M$208&gt;$N$22,$M$208&lt;=$N$25)),$M$208,"")</f>
      </c>
    </row>
    <row r="209" spans="1:18" ht="12.75">
      <c r="A209">
        <f>IF(ISBLANK(data!I11),"",data!I11)</f>
        <v>0.010429041654892349</v>
      </c>
      <c r="C209">
        <v>2.5</v>
      </c>
      <c r="D209" t="e">
        <f>IF(OR($A$209&lt;$B$24,$A$209&gt;$B$26),$A$209,#N/A)</f>
        <v>#N/A</v>
      </c>
      <c r="E209" t="e">
        <f>IF(OR(AND($A$209&lt;$B$23,$A$209&gt;=$B$24),AND($A$209&gt;$B$25,$A$209&lt;=$B$26)),$A$209,#N/A)</f>
        <v>#N/A</v>
      </c>
      <c r="F209">
        <f>IF(OR(AND($A$209&lt;$B$20,$A$209&gt;=$B$23),AND($A$209&gt;$B$22,$A$209&lt;=$B$25)),$A$209,"")</f>
      </c>
      <c r="M209">
        <f>IF(ISBLANK(data!I11),"",data!I11)</f>
        <v>0.010429041654892349</v>
      </c>
      <c r="O209">
        <v>2.5</v>
      </c>
      <c r="P209" t="e">
        <f>IF(OR($M$209&lt;$N$24,$M$209&gt;$N$26),$M$209,#N/A)</f>
        <v>#N/A</v>
      </c>
      <c r="Q209" t="e">
        <f>IF(OR(AND($M$209&lt;$N$23,$M$209&gt;=$N$24),AND($M$209&gt;$N$25,$M$209&lt;=$N$26)),$M$209,#N/A)</f>
        <v>#N/A</v>
      </c>
      <c r="R209">
        <f>IF(OR(AND($M$209&lt;$N$20,$M$209&gt;=$N$23),AND($M$209&gt;$N$22,$M$209&lt;=$N$25)),$M$209,"")</f>
      </c>
    </row>
    <row r="210" spans="1:18" ht="12.75">
      <c r="A210">
        <f>IF(ISBLANK(data!I12),"",data!I12)</f>
        <v>0.01852463452645282</v>
      </c>
      <c r="C210">
        <v>2.5</v>
      </c>
      <c r="D210" t="e">
        <f>IF(OR($A$210&lt;$B$24,$A$210&gt;$B$26),$A$210,#N/A)</f>
        <v>#N/A</v>
      </c>
      <c r="E210" t="e">
        <f>IF(OR(AND($A$210&lt;$B$23,$A$210&gt;=$B$24),AND($A$210&gt;$B$25,$A$210&lt;=$B$26)),$A$210,#N/A)</f>
        <v>#N/A</v>
      </c>
      <c r="F210">
        <f>IF(OR(AND($A$210&lt;$B$20,$A$210&gt;=$B$23),AND($A$210&gt;$B$22,$A$210&lt;=$B$25)),$A$210,"")</f>
      </c>
      <c r="M210">
        <f>IF(ISBLANK(data!I12),"",data!I12)</f>
        <v>0.01852463452645282</v>
      </c>
      <c r="O210">
        <v>2.5</v>
      </c>
      <c r="P210" t="e">
        <f>IF(OR($M$210&lt;$N$24,$M$210&gt;$N$26),$M$210,#N/A)</f>
        <v>#N/A</v>
      </c>
      <c r="Q210" t="e">
        <f>IF(OR(AND($M$210&lt;$N$23,$M$210&gt;=$N$24),AND($M$210&gt;$N$25,$M$210&lt;=$N$26)),$M$210,#N/A)</f>
        <v>#N/A</v>
      </c>
      <c r="R210">
        <f>IF(OR(AND($M$210&lt;$N$20,$M$210&gt;=$N$23),AND($M$210&gt;$N$22,$M$210&lt;=$N$25)),$M$210,"")</f>
      </c>
    </row>
    <row r="211" spans="1:18" ht="12.75">
      <c r="A211">
        <f>IF(ISBLANK(data!I13),"",data!I13)</f>
        <v>-0.025745372804774513</v>
      </c>
      <c r="C211">
        <v>2.5</v>
      </c>
      <c r="D211" t="e">
        <f>IF(OR($A$211&lt;$B$24,$A$211&gt;$B$26),$A$211,#N/A)</f>
        <v>#N/A</v>
      </c>
      <c r="E211" t="e">
        <f>IF(OR(AND($A$211&lt;$B$23,$A$211&gt;=$B$24),AND($A$211&gt;$B$25,$A$211&lt;=$B$26)),$A$211,#N/A)</f>
        <v>#N/A</v>
      </c>
      <c r="F211">
        <f>IF(OR(AND($A$211&lt;$B$20,$A$211&gt;=$B$23),AND($A$211&gt;$B$22,$A$211&lt;=$B$25)),$A$211,"")</f>
        <v>-0.025745372804774513</v>
      </c>
      <c r="M211">
        <f>IF(ISBLANK(data!I13),"",data!I13)</f>
        <v>-0.025745372804774513</v>
      </c>
      <c r="O211">
        <v>2.5</v>
      </c>
      <c r="P211" t="e">
        <f>IF(OR($M$211&lt;$N$24,$M$211&gt;$N$26),$M$211,#N/A)</f>
        <v>#N/A</v>
      </c>
      <c r="Q211" t="e">
        <f>IF(OR(AND($M$211&lt;$N$23,$M$211&gt;=$N$24),AND($M$211&gt;$N$25,$M$211&lt;=$N$26)),$M$211,#N/A)</f>
        <v>#N/A</v>
      </c>
      <c r="R211">
        <f>IF(OR(AND($M$211&lt;$N$20,$M$211&gt;=$N$23),AND($M$211&gt;$N$22,$M$211&lt;=$N$25)),$M$211,"")</f>
        <v>-0.025745372804774513</v>
      </c>
    </row>
    <row r="212" spans="1:18" ht="12.75">
      <c r="A212">
        <f>IF(ISBLANK(data!I14),"",data!I14)</f>
        <v>0.022463263988382214</v>
      </c>
      <c r="C212">
        <v>2.5</v>
      </c>
      <c r="D212" t="e">
        <f>IF(OR($A$212&lt;$B$24,$A$212&gt;$B$26),$A$212,#N/A)</f>
        <v>#N/A</v>
      </c>
      <c r="E212" t="e">
        <f>IF(OR(AND($A$212&lt;$B$23,$A$212&gt;=$B$24),AND($A$212&gt;$B$25,$A$212&lt;=$B$26)),$A$212,#N/A)</f>
        <v>#N/A</v>
      </c>
      <c r="F212">
        <f>IF(OR(AND($A$212&lt;$B$20,$A$212&gt;=$B$23),AND($A$212&gt;$B$22,$A$212&lt;=$B$25)),$A$212,"")</f>
      </c>
      <c r="M212">
        <f>IF(ISBLANK(data!I14),"",data!I14)</f>
        <v>0.022463263988382214</v>
      </c>
      <c r="O212">
        <v>2.5</v>
      </c>
      <c r="P212" t="e">
        <f>IF(OR($M$212&lt;$N$24,$M$212&gt;$N$26),$M$212,#N/A)</f>
        <v>#N/A</v>
      </c>
      <c r="Q212" t="e">
        <f>IF(OR(AND($M$212&lt;$N$23,$M$212&gt;=$N$24),AND($M$212&gt;$N$25,$M$212&lt;=$N$26)),$M$212,#N/A)</f>
        <v>#N/A</v>
      </c>
      <c r="R212">
        <f>IF(OR(AND($M$212&lt;$N$20,$M$212&gt;=$N$23),AND($M$212&gt;$N$22,$M$212&lt;=$N$25)),$M$212,"")</f>
      </c>
    </row>
    <row r="213" spans="1:18" ht="12.75">
      <c r="A213">
        <f>IF(ISBLANK(data!I15),"",data!I15)</f>
        <v>0.0007549516301373383</v>
      </c>
      <c r="C213">
        <v>2.5</v>
      </c>
      <c r="D213" t="e">
        <f>IF(OR($A$213&lt;$B$24,$A$213&gt;$B$26),$A$213,#N/A)</f>
        <v>#N/A</v>
      </c>
      <c r="E213" t="e">
        <f>IF(OR(AND($A$213&lt;$B$23,$A$213&gt;=$B$24),AND($A$213&gt;$B$25,$A$213&lt;=$B$26)),$A$213,#N/A)</f>
        <v>#N/A</v>
      </c>
      <c r="F213">
        <f>IF(OR(AND($A$213&lt;$B$20,$A$213&gt;=$B$23),AND($A$213&gt;$B$22,$A$213&lt;=$B$25)),$A$213,"")</f>
      </c>
      <c r="M213">
        <f>IF(ISBLANK(data!I15),"",data!I15)</f>
        <v>0.0007549516301373383</v>
      </c>
      <c r="O213">
        <v>2.5</v>
      </c>
      <c r="P213" t="e">
        <f>IF(OR($M$213&lt;$N$24,$M$213&gt;$N$26),$M$213,#N/A)</f>
        <v>#N/A</v>
      </c>
      <c r="Q213" t="e">
        <f>IF(OR(AND($M$213&lt;$N$23,$M$213&gt;=$N$24),AND($M$213&gt;$N$25,$M$213&lt;=$N$26)),$M$213,#N/A)</f>
        <v>#N/A</v>
      </c>
      <c r="R213">
        <f>IF(OR(AND($M$213&lt;$N$20,$M$213&gt;=$N$23),AND($M$213&gt;$N$22,$M$213&lt;=$N$25)),$M$213,"")</f>
      </c>
    </row>
    <row r="214" spans="1:18" ht="12.75">
      <c r="A214">
        <f>IF(ISBLANK(data!I16),"",data!I16)</f>
        <v>-0.00534129861324958</v>
      </c>
      <c r="C214">
        <v>2.5</v>
      </c>
      <c r="D214" t="e">
        <f>IF(OR($A$214&lt;$B$24,$A$214&gt;$B$26),$A$214,#N/A)</f>
        <v>#N/A</v>
      </c>
      <c r="E214" t="e">
        <f>IF(OR(AND($A$214&lt;$B$23,$A$214&gt;=$B$24),AND($A$214&gt;$B$25,$A$214&lt;=$B$26)),$A$214,#N/A)</f>
        <v>#N/A</v>
      </c>
      <c r="F214">
        <f>IF(OR(AND($A$214&lt;$B$20,$A$214&gt;=$B$23),AND($A$214&gt;$B$22,$A$214&lt;=$B$25)),$A$214,"")</f>
      </c>
      <c r="M214">
        <f>IF(ISBLANK(data!I16),"",data!I16)</f>
        <v>-0.00534129861324958</v>
      </c>
      <c r="O214">
        <v>2.5</v>
      </c>
      <c r="P214" t="e">
        <f>IF(OR($M$214&lt;$N$24,$M$214&gt;$N$26),$M$214,#N/A)</f>
        <v>#N/A</v>
      </c>
      <c r="Q214" t="e">
        <f>IF(OR(AND($M$214&lt;$N$23,$M$214&gt;=$N$24),AND($M$214&gt;$N$25,$M$214&lt;=$N$26)),$M$214,#N/A)</f>
        <v>#N/A</v>
      </c>
      <c r="R214">
        <f>IF(OR(AND($M$214&lt;$N$20,$M$214&gt;=$N$23),AND($M$214&gt;$N$22,$M$214&lt;=$N$25)),$M$214,"")</f>
      </c>
    </row>
    <row r="215" spans="1:18" ht="12.75">
      <c r="A215">
        <f>IF(ISBLANK(data!I17),"",data!I17)</f>
        <v>0.033852457573435274</v>
      </c>
      <c r="C215">
        <v>2.5</v>
      </c>
      <c r="D215" t="e">
        <f>IF(OR($A$215&lt;$B$24,$A$215&gt;$B$26),$A$215,#N/A)</f>
        <v>#N/A</v>
      </c>
      <c r="E215" t="e">
        <f>IF(OR(AND($A$215&lt;$B$23,$A$215&gt;=$B$24),AND($A$215&gt;$B$25,$A$215&lt;=$B$26)),$A$215,#N/A)</f>
        <v>#N/A</v>
      </c>
      <c r="F215">
        <f>IF(OR(AND($A$215&lt;$B$20,$A$215&gt;=$B$23),AND($A$215&gt;$B$22,$A$215&lt;=$B$25)),$A$215,"")</f>
      </c>
      <c r="M215">
        <f>IF(ISBLANK(data!I17),"",data!I17)</f>
        <v>0.033852457573435274</v>
      </c>
      <c r="O215">
        <v>2.5</v>
      </c>
      <c r="P215" t="e">
        <f>IF(OR($M$215&lt;$N$24,$M$215&gt;$N$26),$M$215,#N/A)</f>
        <v>#N/A</v>
      </c>
      <c r="Q215" t="e">
        <f>IF(OR(AND($M$215&lt;$N$23,$M$215&gt;=$N$24),AND($M$215&gt;$N$25,$M$215&lt;=$N$26)),$M$215,#N/A)</f>
        <v>#N/A</v>
      </c>
      <c r="R215">
        <f>IF(OR(AND($M$215&lt;$N$20,$M$215&gt;=$N$23),AND($M$215&gt;$N$22,$M$215&lt;=$N$25)),$M$215,"")</f>
      </c>
    </row>
    <row r="216" spans="1:18" ht="12.75">
      <c r="A216">
        <f>IF(ISBLANK(data!I18),"",data!I18)</f>
        <v>-0.010038133482406217</v>
      </c>
      <c r="C216">
        <v>2.5</v>
      </c>
      <c r="D216" t="e">
        <f>IF(OR($A$216&lt;$B$24,$A$216&gt;$B$26),$A$216,#N/A)</f>
        <v>#N/A</v>
      </c>
      <c r="E216" t="e">
        <f>IF(OR(AND($A$216&lt;$B$23,$A$216&gt;=$B$24),AND($A$216&gt;$B$25,$A$216&lt;=$B$26)),$A$216,#N/A)</f>
        <v>#N/A</v>
      </c>
      <c r="F216">
        <f>IF(OR(AND($A$216&lt;$B$20,$A$216&gt;=$B$23),AND($A$216&gt;$B$22,$A$216&lt;=$B$25)),$A$216,"")</f>
      </c>
      <c r="M216">
        <f>IF(ISBLANK(data!I18),"",data!I18)</f>
        <v>-0.010038133482406217</v>
      </c>
      <c r="O216">
        <v>2.5</v>
      </c>
      <c r="P216" t="e">
        <f>IF(OR($M$216&lt;$N$24,$M$216&gt;$N$26),$M$216,#N/A)</f>
        <v>#N/A</v>
      </c>
      <c r="Q216" t="e">
        <f>IF(OR(AND($M$216&lt;$N$23,$M$216&gt;=$N$24),AND($M$216&gt;$N$25,$M$216&lt;=$N$26)),$M$216,#N/A)</f>
        <v>#N/A</v>
      </c>
      <c r="R216">
        <f>IF(OR(AND($M$216&lt;$N$20,$M$216&gt;=$N$23),AND($M$216&gt;$N$22,$M$216&lt;=$N$25)),$M$216,"")</f>
      </c>
    </row>
    <row r="217" spans="1:18" ht="12.75">
      <c r="A217">
        <f>IF(ISBLANK(data!I19),"",data!I19)</f>
        <v>0.019207289080128778</v>
      </c>
      <c r="C217">
        <v>2.5</v>
      </c>
      <c r="D217" t="e">
        <f>IF(OR($A$217&lt;$B$24,$A$217&gt;$B$26),$A$217,#N/A)</f>
        <v>#N/A</v>
      </c>
      <c r="E217" t="e">
        <f>IF(OR(AND($A$217&lt;$B$23,$A$217&gt;=$B$24),AND($A$217&gt;$B$25,$A$217&lt;=$B$26)),$A$217,#N/A)</f>
        <v>#N/A</v>
      </c>
      <c r="F217">
        <f>IF(OR(AND($A$217&lt;$B$20,$A$217&gt;=$B$23),AND($A$217&gt;$B$22,$A$217&lt;=$B$25)),$A$217,"")</f>
      </c>
      <c r="M217">
        <f>IF(ISBLANK(data!I19),"",data!I19)</f>
        <v>0.019207289080128778</v>
      </c>
      <c r="O217">
        <v>2.5</v>
      </c>
      <c r="P217" t="e">
        <f>IF(OR($M$217&lt;$N$24,$M$217&gt;$N$26),$M$217,#N/A)</f>
        <v>#N/A</v>
      </c>
      <c r="Q217" t="e">
        <f>IF(OR(AND($M$217&lt;$N$23,$M$217&gt;=$N$24),AND($M$217&gt;$N$25,$M$217&lt;=$N$26)),$M$217,#N/A)</f>
        <v>#N/A</v>
      </c>
      <c r="R217">
        <f>IF(OR(AND($M$217&lt;$N$20,$M$217&gt;=$N$23),AND($M$217&gt;$N$22,$M$217&lt;=$N$25)),$M$217,"")</f>
      </c>
    </row>
    <row r="218" spans="1:18" ht="12.75">
      <c r="A218">
        <f>IF(ISBLANK(data!I20),"",data!I20)</f>
        <v>-0.012994739773819838</v>
      </c>
      <c r="C218">
        <v>2.5</v>
      </c>
      <c r="D218" t="e">
        <f>IF(OR($A$218&lt;$B$24,$A$218&gt;$B$26),$A$218,#N/A)</f>
        <v>#N/A</v>
      </c>
      <c r="E218" t="e">
        <f>IF(OR(AND($A$218&lt;$B$23,$A$218&gt;=$B$24),AND($A$218&gt;$B$25,$A$218&lt;=$B$26)),$A$218,#N/A)</f>
        <v>#N/A</v>
      </c>
      <c r="F218">
        <f>IF(OR(AND($A$218&lt;$B$20,$A$218&gt;=$B$23),AND($A$218&gt;$B$22,$A$218&lt;=$B$25)),$A$218,"")</f>
        <v>-0.012994739773819838</v>
      </c>
      <c r="M218">
        <f>IF(ISBLANK(data!I20),"",data!I20)</f>
        <v>-0.012994739773819838</v>
      </c>
      <c r="O218">
        <v>2.5</v>
      </c>
      <c r="P218" t="e">
        <f>IF(OR($M$218&lt;$N$24,$M$218&gt;$N$26),$M$218,#N/A)</f>
        <v>#N/A</v>
      </c>
      <c r="Q218" t="e">
        <f>IF(OR(AND($M$218&lt;$N$23,$M$218&gt;=$N$24),AND($M$218&gt;$N$25,$M$218&lt;=$N$26)),$M$218,#N/A)</f>
        <v>#N/A</v>
      </c>
      <c r="R218">
        <f>IF(OR(AND($M$218&lt;$N$20,$M$218&gt;=$N$23),AND($M$218&gt;$N$22,$M$218&lt;=$N$25)),$M$218,"")</f>
        <v>-0.012994739773819838</v>
      </c>
    </row>
    <row r="219" spans="1:18" ht="12.75">
      <c r="A219">
        <f>IF(ISBLANK(data!I21),"",data!I21)</f>
        <v>0.010040591116877065</v>
      </c>
      <c r="C219">
        <v>2.5</v>
      </c>
      <c r="D219" t="e">
        <f>IF(OR($A$219&lt;$B$24,$A$219&gt;$B$26),$A$219,#N/A)</f>
        <v>#N/A</v>
      </c>
      <c r="E219" t="e">
        <f>IF(OR(AND($A$219&lt;$B$23,$A$219&gt;=$B$24),AND($A$219&gt;$B$25,$A$219&lt;=$B$26)),$A$219,#N/A)</f>
        <v>#N/A</v>
      </c>
      <c r="F219">
        <f>IF(OR(AND($A$219&lt;$B$20,$A$219&gt;=$B$23),AND($A$219&gt;$B$22,$A$219&lt;=$B$25)),$A$219,"")</f>
      </c>
      <c r="M219">
        <f>IF(ISBLANK(data!I21),"",data!I21)</f>
        <v>0.010040591116877065</v>
      </c>
      <c r="O219">
        <v>2.5</v>
      </c>
      <c r="P219" t="e">
        <f>IF(OR($M$219&lt;$N$24,$M$219&gt;$N$26),$M$219,#N/A)</f>
        <v>#N/A</v>
      </c>
      <c r="Q219" t="e">
        <f>IF(OR(AND($M$219&lt;$N$23,$M$219&gt;=$N$24),AND($M$219&gt;$N$25,$M$219&lt;=$N$26)),$M$219,#N/A)</f>
        <v>#N/A</v>
      </c>
      <c r="R219">
        <f>IF(OR(AND($M$219&lt;$N$20,$M$219&gt;=$N$23),AND($M$219&gt;$N$22,$M$219&lt;=$N$25)),$M$219,"")</f>
      </c>
    </row>
    <row r="220" spans="1:18" ht="12.75">
      <c r="A220">
        <f>IF(ISBLANK(data!I22),"",data!I22)</f>
        <v>0.031983824491671184</v>
      </c>
      <c r="C220">
        <v>2.5</v>
      </c>
      <c r="D220" t="e">
        <f>IF(OR($A$220&lt;$B$24,$A$220&gt;$B$26),$A$220,#N/A)</f>
        <v>#N/A</v>
      </c>
      <c r="E220" t="e">
        <f>IF(OR(AND($A$220&lt;$B$23,$A$220&gt;=$B$24),AND($A$220&gt;$B$25,$A$220&lt;=$B$26)),$A$220,#N/A)</f>
        <v>#N/A</v>
      </c>
      <c r="F220">
        <f>IF(OR(AND($A$220&lt;$B$20,$A$220&gt;=$B$23),AND($A$220&gt;$B$22,$A$220&lt;=$B$25)),$A$220,"")</f>
      </c>
      <c r="M220">
        <f>IF(ISBLANK(data!I22),"",data!I22)</f>
        <v>0.031983824491671184</v>
      </c>
      <c r="O220">
        <v>2.5</v>
      </c>
      <c r="P220" t="e">
        <f>IF(OR($M$220&lt;$N$24,$M$220&gt;$N$26),$M$220,#N/A)</f>
        <v>#N/A</v>
      </c>
      <c r="Q220" t="e">
        <f>IF(OR(AND($M$220&lt;$N$23,$M$220&gt;=$N$24),AND($M$220&gt;$N$25,$M$220&lt;=$N$26)),$M$220,#N/A)</f>
        <v>#N/A</v>
      </c>
      <c r="R220">
        <f>IF(OR(AND($M$220&lt;$N$20,$M$220&gt;=$N$23),AND($M$220&gt;$N$22,$M$220&lt;=$N$25)),$M$220,"")</f>
      </c>
    </row>
    <row r="221" spans="1:18" ht="12.75">
      <c r="A221">
        <f>IF(ISBLANK(data!I23),"",data!I23)</f>
        <v>-0.03050565928931071</v>
      </c>
      <c r="C221">
        <v>2.5</v>
      </c>
      <c r="D221" t="e">
        <f>IF(OR($A$221&lt;$B$24,$A$221&gt;$B$26),$A$221,#N/A)</f>
        <v>#N/A</v>
      </c>
      <c r="E221" t="e">
        <f>IF(OR(AND($A$221&lt;$B$23,$A$221&gt;=$B$24),AND($A$221&gt;$B$25,$A$221&lt;=$B$26)),$A$221,#N/A)</f>
        <v>#N/A</v>
      </c>
      <c r="F221">
        <f>IF(OR(AND($A$221&lt;$B$20,$A$221&gt;=$B$23),AND($A$221&gt;$B$22,$A$221&lt;=$B$25)),$A$221,"")</f>
        <v>-0.03050565928931071</v>
      </c>
      <c r="M221">
        <f>IF(ISBLANK(data!I23),"",data!I23)</f>
        <v>-0.03050565928931071</v>
      </c>
      <c r="O221">
        <v>2.5</v>
      </c>
      <c r="P221" t="e">
        <f>IF(OR($M$221&lt;$N$24,$M$221&gt;$N$26),$M$221,#N/A)</f>
        <v>#N/A</v>
      </c>
      <c r="Q221" t="e">
        <f>IF(OR(AND($M$221&lt;$N$23,$M$221&gt;=$N$24),AND($M$221&gt;$N$25,$M$221&lt;=$N$26)),$M$221,#N/A)</f>
        <v>#N/A</v>
      </c>
      <c r="R221">
        <f>IF(OR(AND($M$221&lt;$N$20,$M$221&gt;=$N$23),AND($M$221&gt;$N$22,$M$221&lt;=$N$25)),$M$221,"")</f>
        <v>-0.03050565928931071</v>
      </c>
    </row>
    <row r="222" spans="1:18" ht="12.75">
      <c r="A222">
        <f>IF(ISBLANK(data!I24),"",data!I24)</f>
        <v>-0.04682587467296497</v>
      </c>
      <c r="C222">
        <v>2.5</v>
      </c>
      <c r="D222" t="e">
        <f>IF(OR($A$222&lt;$B$24,$A$222&gt;$B$26),$A$222,#N/A)</f>
        <v>#N/A</v>
      </c>
      <c r="E222" t="e">
        <f>IF(OR(AND($A$222&lt;$B$23,$A$222&gt;=$B$24),AND($A$222&gt;$B$25,$A$222&lt;=$B$26)),$A$222,#N/A)</f>
        <v>#N/A</v>
      </c>
      <c r="F222">
        <f>IF(OR(AND($A$222&lt;$B$20,$A$222&gt;=$B$23),AND($A$222&gt;$B$22,$A$222&lt;=$B$25)),$A$222,"")</f>
        <v>-0.04682587467296497</v>
      </c>
      <c r="M222">
        <f>IF(ISBLANK(data!I24),"",data!I24)</f>
        <v>-0.04682587467296497</v>
      </c>
      <c r="O222">
        <v>2.5</v>
      </c>
      <c r="P222" t="e">
        <f>IF(OR($M$222&lt;$N$24,$M$222&gt;$N$26),$M$222,#N/A)</f>
        <v>#N/A</v>
      </c>
      <c r="Q222" t="e">
        <f>IF(OR(AND($M$222&lt;$N$23,$M$222&gt;=$N$24),AND($M$222&gt;$N$25,$M$222&lt;=$N$26)),$M$222,#N/A)</f>
        <v>#N/A</v>
      </c>
      <c r="R222">
        <f>IF(OR(AND($M$222&lt;$N$20,$M$222&gt;=$N$23),AND($M$222&gt;$N$22,$M$222&lt;=$N$25)),$M$222,"")</f>
        <v>-0.04682587467296497</v>
      </c>
    </row>
    <row r="223" spans="1:18" ht="12.75">
      <c r="A223">
        <f>IF(ISBLANK(data!I25),"",data!I25)</f>
        <v>0.011464639111236987</v>
      </c>
      <c r="C223">
        <v>2.5</v>
      </c>
      <c r="D223" t="e">
        <f>IF(OR($A$223&lt;$B$24,$A$223&gt;$B$26),$A$223,#N/A)</f>
        <v>#N/A</v>
      </c>
      <c r="E223" t="e">
        <f>IF(OR(AND($A$223&lt;$B$23,$A$223&gt;=$B$24),AND($A$223&gt;$B$25,$A$223&lt;=$B$26)),$A$223,#N/A)</f>
        <v>#N/A</v>
      </c>
      <c r="F223">
        <f>IF(OR(AND($A$223&lt;$B$20,$A$223&gt;=$B$23),AND($A$223&gt;$B$22,$A$223&lt;=$B$25)),$A$223,"")</f>
      </c>
      <c r="M223">
        <f>IF(ISBLANK(data!I25),"",data!I25)</f>
        <v>0.011464639111236987</v>
      </c>
      <c r="O223">
        <v>2.5</v>
      </c>
      <c r="P223" t="e">
        <f>IF(OR($M$223&lt;$N$24,$M$223&gt;$N$26),$M$223,#N/A)</f>
        <v>#N/A</v>
      </c>
      <c r="Q223" t="e">
        <f>IF(OR(AND($M$223&lt;$N$23,$M$223&gt;=$N$24),AND($M$223&gt;$N$25,$M$223&lt;=$N$26)),$M$223,#N/A)</f>
        <v>#N/A</v>
      </c>
      <c r="R223">
        <f>IF(OR(AND($M$223&lt;$N$20,$M$223&gt;=$N$23),AND($M$223&gt;$N$22,$M$223&lt;=$N$25)),$M$223,"")</f>
      </c>
    </row>
    <row r="224" spans="1:18" ht="12.75">
      <c r="A224">
        <f>IF(ISBLANK(data!I26),"",data!I26)</f>
        <v>0.012320936987420615</v>
      </c>
      <c r="C224">
        <v>2.5</v>
      </c>
      <c r="D224" t="e">
        <f>IF(OR($A$224&lt;$B$24,$A$224&gt;$B$26),$A$224,#N/A)</f>
        <v>#N/A</v>
      </c>
      <c r="E224" t="e">
        <f>IF(OR(AND($A$224&lt;$B$23,$A$224&gt;=$B$24),AND($A$224&gt;$B$25,$A$224&lt;=$B$26)),$A$224,#N/A)</f>
        <v>#N/A</v>
      </c>
      <c r="F224">
        <f>IF(OR(AND($A$224&lt;$B$20,$A$224&gt;=$B$23),AND($A$224&gt;$B$22,$A$224&lt;=$B$25)),$A$224,"")</f>
      </c>
      <c r="M224">
        <f>IF(ISBLANK(data!I26),"",data!I26)</f>
        <v>0.012320936987420615</v>
      </c>
      <c r="O224">
        <v>2.5</v>
      </c>
      <c r="P224" t="e">
        <f>IF(OR($M$224&lt;$N$24,$M$224&gt;$N$26),$M$224,#N/A)</f>
        <v>#N/A</v>
      </c>
      <c r="Q224" t="e">
        <f>IF(OR(AND($M$224&lt;$N$23,$M$224&gt;=$N$24),AND($M$224&gt;$N$25,$M$224&lt;=$N$26)),$M$224,#N/A)</f>
        <v>#N/A</v>
      </c>
      <c r="R224">
        <f>IF(OR(AND($M$224&lt;$N$20,$M$224&gt;=$N$23),AND($M$224&gt;$N$22,$M$224&lt;=$N$25)),$M$224,"")</f>
      </c>
    </row>
    <row r="225" spans="1:18" ht="12.75">
      <c r="A225">
        <f>IF(ISBLANK(data!I27),"",data!I27)</f>
        <v>-0.027156214317501502</v>
      </c>
      <c r="C225">
        <v>2.5</v>
      </c>
      <c r="D225" t="e">
        <f>IF(OR($A$225&lt;$B$24,$A$225&gt;$B$26),$A$225,#N/A)</f>
        <v>#N/A</v>
      </c>
      <c r="E225" t="e">
        <f>IF(OR(AND($A$225&lt;$B$23,$A$225&gt;=$B$24),AND($A$225&gt;$B$25,$A$225&lt;=$B$26)),$A$225,#N/A)</f>
        <v>#N/A</v>
      </c>
      <c r="F225">
        <f>IF(OR(AND($A$225&lt;$B$20,$A$225&gt;=$B$23),AND($A$225&gt;$B$22,$A$225&lt;=$B$25)),$A$225,"")</f>
        <v>-0.027156214317501502</v>
      </c>
      <c r="M225">
        <f>IF(ISBLANK(data!I27),"",data!I27)</f>
        <v>-0.027156214317501502</v>
      </c>
      <c r="O225">
        <v>2.5</v>
      </c>
      <c r="P225" t="e">
        <f>IF(OR($M$225&lt;$N$24,$M$225&gt;$N$26),$M$225,#N/A)</f>
        <v>#N/A</v>
      </c>
      <c r="Q225" t="e">
        <f>IF(OR(AND($M$225&lt;$N$23,$M$225&gt;=$N$24),AND($M$225&gt;$N$25,$M$225&lt;=$N$26)),$M$225,#N/A)</f>
        <v>#N/A</v>
      </c>
      <c r="R225">
        <f>IF(OR(AND($M$225&lt;$N$20,$M$225&gt;=$N$23),AND($M$225&gt;$N$22,$M$225&lt;=$N$25)),$M$225,"")</f>
        <v>-0.027156214317501502</v>
      </c>
    </row>
    <row r="226" spans="1:18" ht="12.75">
      <c r="A226">
        <f>IF(ISBLANK(data!I28),"",data!I28)</f>
        <v>0.03100422291367488</v>
      </c>
      <c r="C226">
        <v>2.5</v>
      </c>
      <c r="D226" t="e">
        <f>IF(OR($A$226&lt;$B$24,$A$226&gt;$B$26),$A$226,#N/A)</f>
        <v>#N/A</v>
      </c>
      <c r="E226" t="e">
        <f>IF(OR(AND($A$226&lt;$B$23,$A$226&gt;=$B$24),AND($A$226&gt;$B$25,$A$226&lt;=$B$26)),$A$226,#N/A)</f>
        <v>#N/A</v>
      </c>
      <c r="F226">
        <f>IF(OR(AND($A$226&lt;$B$20,$A$226&gt;=$B$23),AND($A$226&gt;$B$22,$A$226&lt;=$B$25)),$A$226,"")</f>
      </c>
      <c r="M226">
        <f>IF(ISBLANK(data!I28),"",data!I28)</f>
        <v>0.03100422291367488</v>
      </c>
      <c r="O226">
        <v>2.5</v>
      </c>
      <c r="P226" t="e">
        <f>IF(OR($M$226&lt;$N$24,$M$226&gt;$N$26),$M$226,#N/A)</f>
        <v>#N/A</v>
      </c>
      <c r="Q226" t="e">
        <f>IF(OR(AND($M$226&lt;$N$23,$M$226&gt;=$N$24),AND($M$226&gt;$N$25,$M$226&lt;=$N$26)),$M$226,#N/A)</f>
        <v>#N/A</v>
      </c>
      <c r="R226">
        <f>IF(OR(AND($M$226&lt;$N$20,$M$226&gt;=$N$23),AND($M$226&gt;$N$22,$M$226&lt;=$N$25)),$M$226,"")</f>
      </c>
    </row>
    <row r="227" spans="1:18" ht="12.75">
      <c r="A227">
        <f>IF(ISBLANK(data!I29),"",data!I29)</f>
        <v>0.03690914263888793</v>
      </c>
      <c r="C227">
        <v>2.5</v>
      </c>
      <c r="D227" t="e">
        <f>IF(OR($A$227&lt;$B$24,$A$227&gt;$B$26),$A$227,#N/A)</f>
        <v>#N/A</v>
      </c>
      <c r="E227" t="e">
        <f>IF(OR(AND($A$227&lt;$B$23,$A$227&gt;=$B$24),AND($A$227&gt;$B$25,$A$227&lt;=$B$26)),$A$227,#N/A)</f>
        <v>#N/A</v>
      </c>
      <c r="F227">
        <f>IF(OR(AND($A$227&lt;$B$20,$A$227&gt;=$B$23),AND($A$227&gt;$B$22,$A$227&lt;=$B$25)),$A$227,"")</f>
      </c>
      <c r="M227">
        <f>IF(ISBLANK(data!I29),"",data!I29)</f>
        <v>0.03690914263888793</v>
      </c>
      <c r="O227">
        <v>2.5</v>
      </c>
      <c r="P227" t="e">
        <f>IF(OR($M$227&lt;$N$24,$M$227&gt;$N$26),$M$227,#N/A)</f>
        <v>#N/A</v>
      </c>
      <c r="Q227" t="e">
        <f>IF(OR(AND($M$227&lt;$N$23,$M$227&gt;=$N$24),AND($M$227&gt;$N$25,$M$227&lt;=$N$26)),$M$227,#N/A)</f>
        <v>#N/A</v>
      </c>
      <c r="R227">
        <f>IF(OR(AND($M$227&lt;$N$20,$M$227&gt;=$N$23),AND($M$227&gt;$N$22,$M$227&lt;=$N$25)),$M$227,"")</f>
      </c>
    </row>
    <row r="228" spans="1:18" ht="12.75">
      <c r="A228">
        <f>IF(ISBLANK(data!I30),"",data!I30)</f>
        <v>-0.02724534331489988</v>
      </c>
      <c r="C228">
        <v>2.5</v>
      </c>
      <c r="D228" t="e">
        <f>IF(OR($A$228&lt;$B$24,$A$228&gt;$B$26),$A$228,#N/A)</f>
        <v>#N/A</v>
      </c>
      <c r="E228" t="e">
        <f>IF(OR(AND($A$228&lt;$B$23,$A$228&gt;=$B$24),AND($A$228&gt;$B$25,$A$228&lt;=$B$26)),$A$228,#N/A)</f>
        <v>#N/A</v>
      </c>
      <c r="F228">
        <f>IF(OR(AND($A$228&lt;$B$20,$A$228&gt;=$B$23),AND($A$228&gt;$B$22,$A$228&lt;=$B$25)),$A$228,"")</f>
        <v>-0.02724534331489988</v>
      </c>
      <c r="M228">
        <f>IF(ISBLANK(data!I30),"",data!I30)</f>
        <v>-0.02724534331489988</v>
      </c>
      <c r="O228">
        <v>2.5</v>
      </c>
      <c r="P228" t="e">
        <f>IF(OR($M$228&lt;$N$24,$M$228&gt;$N$26),$M$228,#N/A)</f>
        <v>#N/A</v>
      </c>
      <c r="Q228" t="e">
        <f>IF(OR(AND($M$228&lt;$N$23,$M$228&gt;=$N$24),AND($M$228&gt;$N$25,$M$228&lt;=$N$26)),$M$228,#N/A)</f>
        <v>#N/A</v>
      </c>
      <c r="R228">
        <f>IF(OR(AND($M$228&lt;$N$20,$M$228&gt;=$N$23),AND($M$228&gt;$N$22,$M$228&lt;=$N$25)),$M$228,"")</f>
        <v>-0.02724534331489988</v>
      </c>
    </row>
    <row r="229" spans="1:18" ht="12.75">
      <c r="A229">
        <f>IF(ISBLANK(data!I31),"",data!I31)</f>
        <v>0.02061972825995886</v>
      </c>
      <c r="C229">
        <v>2.5</v>
      </c>
      <c r="D229" t="e">
        <f>IF(OR($A$229&lt;$B$24,$A$229&gt;$B$26),$A$229,#N/A)</f>
        <v>#N/A</v>
      </c>
      <c r="E229" t="e">
        <f>IF(OR(AND($A$229&lt;$B$23,$A$229&gt;=$B$24),AND($A$229&gt;$B$25,$A$229&lt;=$B$26)),$A$229,#N/A)</f>
        <v>#N/A</v>
      </c>
      <c r="F229">
        <f>IF(OR(AND($A$229&lt;$B$20,$A$229&gt;=$B$23),AND($A$229&gt;$B$22,$A$229&lt;=$B$25)),$A$229,"")</f>
      </c>
      <c r="M229">
        <f>IF(ISBLANK(data!I31),"",data!I31)</f>
        <v>0.02061972825995886</v>
      </c>
      <c r="O229">
        <v>2.5</v>
      </c>
      <c r="P229" t="e">
        <f>IF(OR($M$229&lt;$N$24,$M$229&gt;$N$26),$M$229,#N/A)</f>
        <v>#N/A</v>
      </c>
      <c r="Q229" t="e">
        <f>IF(OR(AND($M$229&lt;$N$23,$M$229&gt;=$N$24),AND($M$229&gt;$N$25,$M$229&lt;=$N$26)),$M$229,#N/A)</f>
        <v>#N/A</v>
      </c>
      <c r="R229">
        <f>IF(OR(AND($M$229&lt;$N$20,$M$229&gt;=$N$23),AND($M$229&gt;$N$22,$M$229&lt;=$N$25)),$M$229,"")</f>
      </c>
    </row>
    <row r="230" spans="1:18" ht="12.75">
      <c r="A230">
        <f>IF(ISBLANK(data!I32),"",data!I32)</f>
        <v>-0.04030609078438459</v>
      </c>
      <c r="C230">
        <v>2.5</v>
      </c>
      <c r="D230" t="e">
        <f>IF(OR($A$230&lt;$B$24,$A$230&gt;$B$26),$A$230,#N/A)</f>
        <v>#N/A</v>
      </c>
      <c r="E230" t="e">
        <f>IF(OR(AND($A$230&lt;$B$23,$A$230&gt;=$B$24),AND($A$230&gt;$B$25,$A$230&lt;=$B$26)),$A$230,#N/A)</f>
        <v>#N/A</v>
      </c>
      <c r="F230">
        <f>IF(OR(AND($A$230&lt;$B$20,$A$230&gt;=$B$23),AND($A$230&gt;$B$22,$A$230&lt;=$B$25)),$A$230,"")</f>
        <v>-0.04030609078438459</v>
      </c>
      <c r="M230">
        <f>IF(ISBLANK(data!I32),"",data!I32)</f>
        <v>-0.04030609078438459</v>
      </c>
      <c r="O230">
        <v>2.5</v>
      </c>
      <c r="P230" t="e">
        <f>IF(OR($M$230&lt;$N$24,$M$230&gt;$N$26),$M$230,#N/A)</f>
        <v>#N/A</v>
      </c>
      <c r="Q230" t="e">
        <f>IF(OR(AND($M$230&lt;$N$23,$M$230&gt;=$N$24),AND($M$230&gt;$N$25,$M$230&lt;=$N$26)),$M$230,#N/A)</f>
        <v>#N/A</v>
      </c>
      <c r="R230">
        <f>IF(OR(AND($M$230&lt;$N$20,$M$230&gt;=$N$23),AND($M$230&gt;$N$22,$M$230&lt;=$N$25)),$M$230,"")</f>
        <v>-0.04030609078438459</v>
      </c>
    </row>
    <row r="231" spans="1:18" ht="12.75">
      <c r="A231">
        <f>IF(ISBLANK(data!I33),"",data!I33)</f>
        <v>0.012224126981340542</v>
      </c>
      <c r="C231">
        <v>2.5</v>
      </c>
      <c r="D231" t="e">
        <f>IF(OR($A$231&lt;$B$24,$A$231&gt;$B$26),$A$231,#N/A)</f>
        <v>#N/A</v>
      </c>
      <c r="E231" t="e">
        <f>IF(OR(AND($A$231&lt;$B$23,$A$231&gt;=$B$24),AND($A$231&gt;$B$25,$A$231&lt;=$B$26)),$A$231,#N/A)</f>
        <v>#N/A</v>
      </c>
      <c r="F231">
        <f>IF(OR(AND($A$231&lt;$B$20,$A$231&gt;=$B$23),AND($A$231&gt;$B$22,$A$231&lt;=$B$25)),$A$231,"")</f>
      </c>
      <c r="M231">
        <f>IF(ISBLANK(data!I33),"",data!I33)</f>
        <v>0.012224126981340542</v>
      </c>
      <c r="O231">
        <v>2.5</v>
      </c>
      <c r="P231" t="e">
        <f>IF(OR($M$231&lt;$N$24,$M$231&gt;$N$26),$M$231,#N/A)</f>
        <v>#N/A</v>
      </c>
      <c r="Q231" t="e">
        <f>IF(OR(AND($M$231&lt;$N$23,$M$231&gt;=$N$24),AND($M$231&gt;$N$25,$M$231&lt;=$N$26)),$M$231,#N/A)</f>
        <v>#N/A</v>
      </c>
      <c r="R231">
        <f>IF(OR(AND($M$231&lt;$N$20,$M$231&gt;=$N$23),AND($M$231&gt;$N$22,$M$231&lt;=$N$25)),$M$231,"")</f>
      </c>
    </row>
    <row r="232" spans="1:18" ht="12.75">
      <c r="A232">
        <f>IF(ISBLANK(data!I34),"",data!I34)</f>
        <v>0.023987640275298247</v>
      </c>
      <c r="C232">
        <v>2.5</v>
      </c>
      <c r="D232" t="e">
        <f>IF(OR($A$232&lt;$B$24,$A$232&gt;$B$26),$A$232,#N/A)</f>
        <v>#N/A</v>
      </c>
      <c r="E232" t="e">
        <f>IF(OR(AND($A$232&lt;$B$23,$A$232&gt;=$B$24),AND($A$232&gt;$B$25,$A$232&lt;=$B$26)),$A$232,#N/A)</f>
        <v>#N/A</v>
      </c>
      <c r="F232">
        <f>IF(OR(AND($A$232&lt;$B$20,$A$232&gt;=$B$23),AND($A$232&gt;$B$22,$A$232&lt;=$B$25)),$A$232,"")</f>
      </c>
      <c r="M232">
        <f>IF(ISBLANK(data!I34),"",data!I34)</f>
        <v>0.023987640275298247</v>
      </c>
      <c r="O232">
        <v>2.5</v>
      </c>
      <c r="P232" t="e">
        <f>IF(OR($M$232&lt;$N$24,$M$232&gt;$N$26),$M$232,#N/A)</f>
        <v>#N/A</v>
      </c>
      <c r="Q232" t="e">
        <f>IF(OR(AND($M$232&lt;$N$23,$M$232&gt;=$N$24),AND($M$232&gt;$N$25,$M$232&lt;=$N$26)),$M$232,#N/A)</f>
        <v>#N/A</v>
      </c>
      <c r="R232">
        <f>IF(OR(AND($M$232&lt;$N$20,$M$232&gt;=$N$23),AND($M$232&gt;$N$22,$M$232&lt;=$N$25)),$M$232,"")</f>
      </c>
    </row>
    <row r="233" spans="1:18" ht="12.75">
      <c r="A233">
        <f>IF(ISBLANK(data!I35),"",data!I35)</f>
        <v>0.035438711264096985</v>
      </c>
      <c r="C233">
        <v>2.5</v>
      </c>
      <c r="D233" t="e">
        <f>IF(OR($A$233&lt;$B$24,$A$233&gt;$B$26),$A$233,#N/A)</f>
        <v>#N/A</v>
      </c>
      <c r="E233" t="e">
        <f>IF(OR(AND($A$233&lt;$B$23,$A$233&gt;=$B$24),AND($A$233&gt;$B$25,$A$233&lt;=$B$26)),$A$233,#N/A)</f>
        <v>#N/A</v>
      </c>
      <c r="F233">
        <f>IF(OR(AND($A$233&lt;$B$20,$A$233&gt;=$B$23),AND($A$233&gt;$B$22,$A$233&lt;=$B$25)),$A$233,"")</f>
      </c>
      <c r="M233">
        <f>IF(ISBLANK(data!I35),"",data!I35)</f>
        <v>0.035438711264096985</v>
      </c>
      <c r="O233">
        <v>2.5</v>
      </c>
      <c r="P233" t="e">
        <f>IF(OR($M$233&lt;$N$24,$M$233&gt;$N$26),$M$233,#N/A)</f>
        <v>#N/A</v>
      </c>
      <c r="Q233" t="e">
        <f>IF(OR(AND($M$233&lt;$N$23,$M$233&gt;=$N$24),AND($M$233&gt;$N$25,$M$233&lt;=$N$26)),$M$233,#N/A)</f>
        <v>#N/A</v>
      </c>
      <c r="R233">
        <f>IF(OR(AND($M$233&lt;$N$20,$M$233&gt;=$N$23),AND($M$233&gt;$N$22,$M$233&lt;=$N$25)),$M$233,"")</f>
      </c>
    </row>
    <row r="234" spans="1:18" ht="12.75">
      <c r="A234">
        <f>IF(ISBLANK(data!I36),"",data!I36)</f>
        <v>0.026962467224111115</v>
      </c>
      <c r="C234">
        <v>2.5</v>
      </c>
      <c r="D234" t="e">
        <f>IF(OR($A$234&lt;$B$24,$A$234&gt;$B$26),$A$234,#N/A)</f>
        <v>#N/A</v>
      </c>
      <c r="E234" t="e">
        <f>IF(OR(AND($A$234&lt;$B$23,$A$234&gt;=$B$24),AND($A$234&gt;$B$25,$A$234&lt;=$B$26)),$A$234,#N/A)</f>
        <v>#N/A</v>
      </c>
      <c r="F234">
        <f>IF(OR(AND($A$234&lt;$B$20,$A$234&gt;=$B$23),AND($A$234&gt;$B$22,$A$234&lt;=$B$25)),$A$234,"")</f>
      </c>
      <c r="M234">
        <f>IF(ISBLANK(data!I36),"",data!I36)</f>
        <v>0.026962467224111115</v>
      </c>
      <c r="O234">
        <v>2.5</v>
      </c>
      <c r="P234" t="e">
        <f>IF(OR($M$234&lt;$N$24,$M$234&gt;$N$26),$M$234,#N/A)</f>
        <v>#N/A</v>
      </c>
      <c r="Q234" t="e">
        <f>IF(OR(AND($M$234&lt;$N$23,$M$234&gt;=$N$24),AND($M$234&gt;$N$25,$M$234&lt;=$N$26)),$M$234,#N/A)</f>
        <v>#N/A</v>
      </c>
      <c r="R234">
        <f>IF(OR(AND($M$234&lt;$N$20,$M$234&gt;=$N$23),AND($M$234&gt;$N$22,$M$234&lt;=$N$25)),$M$234,"")</f>
      </c>
    </row>
    <row r="235" spans="1:18" ht="12.75">
      <c r="A235">
        <f>IF(ISBLANK(data!I37),"",data!I37)</f>
        <v>0.02757654408783848</v>
      </c>
      <c r="C235">
        <v>2.5</v>
      </c>
      <c r="D235" t="e">
        <f>IF(OR($A$235&lt;$B$24,$A$235&gt;$B$26),$A$235,#N/A)</f>
        <v>#N/A</v>
      </c>
      <c r="E235" t="e">
        <f>IF(OR(AND($A$235&lt;$B$23,$A$235&gt;=$B$24),AND($A$235&gt;$B$25,$A$235&lt;=$B$26)),$A$235,#N/A)</f>
        <v>#N/A</v>
      </c>
      <c r="F235">
        <f>IF(OR(AND($A$235&lt;$B$20,$A$235&gt;=$B$23),AND($A$235&gt;$B$22,$A$235&lt;=$B$25)),$A$235,"")</f>
      </c>
      <c r="M235">
        <f>IF(ISBLANK(data!I37),"",data!I37)</f>
        <v>0.02757654408783848</v>
      </c>
      <c r="O235">
        <v>2.5</v>
      </c>
      <c r="P235" t="e">
        <f>IF(OR($M$235&lt;$N$24,$M$235&gt;$N$26),$M$235,#N/A)</f>
        <v>#N/A</v>
      </c>
      <c r="Q235" t="e">
        <f>IF(OR(AND($M$235&lt;$N$23,$M$235&gt;=$N$24),AND($M$235&gt;$N$25,$M$235&lt;=$N$26)),$M$235,#N/A)</f>
        <v>#N/A</v>
      </c>
      <c r="R235">
        <f>IF(OR(AND($M$235&lt;$N$20,$M$235&gt;=$N$23),AND($M$235&gt;$N$22,$M$235&lt;=$N$25)),$M$235,"")</f>
      </c>
    </row>
    <row r="236" spans="1:18" ht="12.75">
      <c r="A236">
        <f>IF(ISBLANK(data!I38),"",data!I38)</f>
        <v>0.03566797648446964</v>
      </c>
      <c r="C236">
        <v>2.5</v>
      </c>
      <c r="D236" t="e">
        <f>IF(OR($A$236&lt;$B$24,$A$236&gt;$B$26),$A$236,#N/A)</f>
        <v>#N/A</v>
      </c>
      <c r="E236" t="e">
        <f>IF(OR(AND($A$236&lt;$B$23,$A$236&gt;=$B$24),AND($A$236&gt;$B$25,$A$236&lt;=$B$26)),$A$236,#N/A)</f>
        <v>#N/A</v>
      </c>
      <c r="F236">
        <f>IF(OR(AND($A$236&lt;$B$20,$A$236&gt;=$B$23),AND($A$236&gt;$B$22,$A$236&lt;=$B$25)),$A$236,"")</f>
      </c>
      <c r="M236">
        <f>IF(ISBLANK(data!I38),"",data!I38)</f>
        <v>0.03566797648446964</v>
      </c>
      <c r="O236">
        <v>2.5</v>
      </c>
      <c r="P236" t="e">
        <f>IF(OR($M$236&lt;$N$24,$M$236&gt;$N$26),$M$236,#N/A)</f>
        <v>#N/A</v>
      </c>
      <c r="Q236" t="e">
        <f>IF(OR(AND($M$236&lt;$N$23,$M$236&gt;=$N$24),AND($M$236&gt;$N$25,$M$236&lt;=$N$26)),$M$236,#N/A)</f>
        <v>#N/A</v>
      </c>
      <c r="R236">
        <f>IF(OR(AND($M$236&lt;$N$20,$M$236&gt;=$N$23),AND($M$236&gt;$N$22,$M$236&lt;=$N$25)),$M$236,"")</f>
      </c>
    </row>
    <row r="237" spans="1:18" ht="12.75">
      <c r="A237">
        <f>IF(ISBLANK(data!I39),"",data!I39)</f>
        <v>0.021055362076815406</v>
      </c>
      <c r="C237">
        <v>2.5</v>
      </c>
      <c r="D237" t="e">
        <f>IF(OR($A$237&lt;$B$24,$A$237&gt;$B$26),$A$237,#N/A)</f>
        <v>#N/A</v>
      </c>
      <c r="E237" t="e">
        <f>IF(OR(AND($A$237&lt;$B$23,$A$237&gt;=$B$24),AND($A$237&gt;$B$25,$A$237&lt;=$B$26)),$A$237,#N/A)</f>
        <v>#N/A</v>
      </c>
      <c r="F237">
        <f>IF(OR(AND($A$237&lt;$B$20,$A$237&gt;=$B$23),AND($A$237&gt;$B$22,$A$237&lt;=$B$25)),$A$237,"")</f>
      </c>
      <c r="M237">
        <f>IF(ISBLANK(data!I39),"",data!I39)</f>
        <v>0.021055362076815406</v>
      </c>
      <c r="O237">
        <v>2.5</v>
      </c>
      <c r="P237" t="e">
        <f>IF(OR($M$237&lt;$N$24,$M$237&gt;$N$26),$M$237,#N/A)</f>
        <v>#N/A</v>
      </c>
      <c r="Q237" t="e">
        <f>IF(OR(AND($M$237&lt;$N$23,$M$237&gt;=$N$24),AND($M$237&gt;$N$25,$M$237&lt;=$N$26)),$M$237,#N/A)</f>
        <v>#N/A</v>
      </c>
      <c r="R237">
        <f>IF(OR(AND($M$237&lt;$N$20,$M$237&gt;=$N$23),AND($M$237&gt;$N$22,$M$237&lt;=$N$25)),$M$237,"")</f>
      </c>
    </row>
    <row r="238" spans="1:18" ht="12.75">
      <c r="A238">
        <f>IF(ISBLANK(data!I40),"",data!I40)</f>
        <v>0.031281631936187715</v>
      </c>
      <c r="C238">
        <v>2.5</v>
      </c>
      <c r="D238" t="e">
        <f>IF(OR($A$238&lt;$B$24,$A$238&gt;$B$26),$A$238,#N/A)</f>
        <v>#N/A</v>
      </c>
      <c r="E238" t="e">
        <f>IF(OR(AND($A$238&lt;$B$23,$A$238&gt;=$B$24),AND($A$238&gt;$B$25,$A$238&lt;=$B$26)),$A$238,#N/A)</f>
        <v>#N/A</v>
      </c>
      <c r="F238">
        <f>IF(OR(AND($A$238&lt;$B$20,$A$238&gt;=$B$23),AND($A$238&gt;$B$22,$A$238&lt;=$B$25)),$A$238,"")</f>
      </c>
      <c r="M238">
        <f>IF(ISBLANK(data!I40),"",data!I40)</f>
        <v>0.031281631936187715</v>
      </c>
      <c r="O238">
        <v>2.5</v>
      </c>
      <c r="P238" t="e">
        <f>IF(OR($M$238&lt;$N$24,$M$238&gt;$N$26),$M$238,#N/A)</f>
        <v>#N/A</v>
      </c>
      <c r="Q238" t="e">
        <f>IF(OR(AND($M$238&lt;$N$23,$M$238&gt;=$N$24),AND($M$238&gt;$N$25,$M$238&lt;=$N$26)),$M$238,#N/A)</f>
        <v>#N/A</v>
      </c>
      <c r="R238">
        <f>IF(OR(AND($M$238&lt;$N$20,$M$238&gt;=$N$23),AND($M$238&gt;$N$22,$M$238&lt;=$N$25)),$M$238,"")</f>
      </c>
    </row>
    <row r="239" spans="1:18" ht="12.75">
      <c r="A239">
        <f>IF(ISBLANK(data!I41),"",data!I41)</f>
        <v>-0.00032030179820779727</v>
      </c>
      <c r="C239">
        <v>2.5</v>
      </c>
      <c r="D239" t="e">
        <f>IF(OR($A$239&lt;$B$24,$A$239&gt;$B$26),$A$239,#N/A)</f>
        <v>#N/A</v>
      </c>
      <c r="E239" t="e">
        <f>IF(OR(AND($A$239&lt;$B$23,$A$239&gt;=$B$24),AND($A$239&gt;$B$25,$A$239&lt;=$B$26)),$A$239,#N/A)</f>
        <v>#N/A</v>
      </c>
      <c r="F239">
        <f>IF(OR(AND($A$239&lt;$B$20,$A$239&gt;=$B$23),AND($A$239&gt;$B$22,$A$239&lt;=$B$25)),$A$239,"")</f>
      </c>
      <c r="M239">
        <f>IF(ISBLANK(data!I41),"",data!I41)</f>
        <v>-0.00032030179820779727</v>
      </c>
      <c r="O239">
        <v>2.5</v>
      </c>
      <c r="P239" t="e">
        <f>IF(OR($M$239&lt;$N$24,$M$239&gt;$N$26),$M$239,#N/A)</f>
        <v>#N/A</v>
      </c>
      <c r="Q239" t="e">
        <f>IF(OR(AND($M$239&lt;$N$23,$M$239&gt;=$N$24),AND($M$239&gt;$N$25,$M$239&lt;=$N$26)),$M$239,#N/A)</f>
        <v>#N/A</v>
      </c>
      <c r="R239">
        <f>IF(OR(AND($M$239&lt;$N$20,$M$239&gt;=$N$23),AND($M$239&gt;$N$22,$M$239&lt;=$N$25)),$M$239,"")</f>
      </c>
    </row>
    <row r="240" spans="1:18" ht="12.75">
      <c r="A240">
        <f>IF(ISBLANK(data!I42),"",data!I42)</f>
        <v>0.03931448733485356</v>
      </c>
      <c r="C240">
        <v>2.5</v>
      </c>
      <c r="D240" t="e">
        <f>IF(OR($A$240&lt;$B$24,$A$240&gt;$B$26),$A$240,#N/A)</f>
        <v>#N/A</v>
      </c>
      <c r="E240" t="e">
        <f>IF(OR(AND($A$240&lt;$B$23,$A$240&gt;=$B$24),AND($A$240&gt;$B$25,$A$240&lt;=$B$26)),$A$240,#N/A)</f>
        <v>#N/A</v>
      </c>
      <c r="F240">
        <f>IF(OR(AND($A$240&lt;$B$20,$A$240&gt;=$B$23),AND($A$240&gt;$B$22,$A$240&lt;=$B$25)),$A$240,"")</f>
        <v>0.03931448733485356</v>
      </c>
      <c r="M240">
        <f>IF(ISBLANK(data!I42),"",data!I42)</f>
        <v>0.03931448733485356</v>
      </c>
      <c r="O240">
        <v>2.5</v>
      </c>
      <c r="P240" t="e">
        <f>IF(OR($M$240&lt;$N$24,$M$240&gt;$N$26),$M$240,#N/A)</f>
        <v>#N/A</v>
      </c>
      <c r="Q240" t="e">
        <f>IF(OR(AND($M$240&lt;$N$23,$M$240&gt;=$N$24),AND($M$240&gt;$N$25,$M$240&lt;=$N$26)),$M$240,#N/A)</f>
        <v>#N/A</v>
      </c>
      <c r="R240">
        <f>IF(OR(AND($M$240&lt;$N$20,$M$240&gt;=$N$23),AND($M$240&gt;$N$22,$M$240&lt;=$N$25)),$M$240,"")</f>
        <v>0.03931448733485356</v>
      </c>
    </row>
    <row r="241" spans="1:18" ht="12.75">
      <c r="A241">
        <f>IF(ISBLANK(data!I43),"",data!I43)</f>
        <v>-0.004991819338843618</v>
      </c>
      <c r="C241">
        <v>2.5</v>
      </c>
      <c r="D241" t="e">
        <f>IF(OR($A$241&lt;$B$24,$A$241&gt;$B$26),$A$241,#N/A)</f>
        <v>#N/A</v>
      </c>
      <c r="E241" t="e">
        <f>IF(OR(AND($A$241&lt;$B$23,$A$241&gt;=$B$24),AND($A$241&gt;$B$25,$A$241&lt;=$B$26)),$A$241,#N/A)</f>
        <v>#N/A</v>
      </c>
      <c r="F241">
        <f>IF(OR(AND($A$241&lt;$B$20,$A$241&gt;=$B$23),AND($A$241&gt;$B$22,$A$241&lt;=$B$25)),$A$241,"")</f>
      </c>
      <c r="M241">
        <f>IF(ISBLANK(data!I43),"",data!I43)</f>
        <v>-0.004991819338843618</v>
      </c>
      <c r="O241">
        <v>2.5</v>
      </c>
      <c r="P241" t="e">
        <f>IF(OR($M$241&lt;$N$24,$M$241&gt;$N$26),$M$241,#N/A)</f>
        <v>#N/A</v>
      </c>
      <c r="Q241" t="e">
        <f>IF(OR(AND($M$241&lt;$N$23,$M$241&gt;=$N$24),AND($M$241&gt;$N$25,$M$241&lt;=$N$26)),$M$241,#N/A)</f>
        <v>#N/A</v>
      </c>
      <c r="R241">
        <f>IF(OR(AND($M$241&lt;$N$20,$M$241&gt;=$N$23),AND($M$241&gt;$N$22,$M$241&lt;=$N$25)),$M$241,"")</f>
      </c>
    </row>
    <row r="242" spans="1:18" ht="12.75">
      <c r="A242">
        <f>IF(ISBLANK(data!I44),"",data!I44)</f>
        <v>0.04022886938718334</v>
      </c>
      <c r="C242">
        <v>2.5</v>
      </c>
      <c r="D242" t="e">
        <f>IF(OR($A$242&lt;$B$24,$A$242&gt;$B$26),$A$242,#N/A)</f>
        <v>#N/A</v>
      </c>
      <c r="E242" t="e">
        <f>IF(OR(AND($A$242&lt;$B$23,$A$242&gt;=$B$24),AND($A$242&gt;$B$25,$A$242&lt;=$B$26)),$A$242,#N/A)</f>
        <v>#N/A</v>
      </c>
      <c r="F242">
        <f>IF(OR(AND($A$242&lt;$B$20,$A$242&gt;=$B$23),AND($A$242&gt;$B$22,$A$242&lt;=$B$25)),$A$242,"")</f>
        <v>0.04022886938718334</v>
      </c>
      <c r="M242">
        <f>IF(ISBLANK(data!I44),"",data!I44)</f>
        <v>0.04022886938718334</v>
      </c>
      <c r="O242">
        <v>2.5</v>
      </c>
      <c r="P242" t="e">
        <f>IF(OR($M$242&lt;$N$24,$M$242&gt;$N$26),$M$242,#N/A)</f>
        <v>#N/A</v>
      </c>
      <c r="Q242" t="e">
        <f>IF(OR(AND($M$242&lt;$N$23,$M$242&gt;=$N$24),AND($M$242&gt;$N$25,$M$242&lt;=$N$26)),$M$242,#N/A)</f>
        <v>#N/A</v>
      </c>
      <c r="R242">
        <f>IF(OR(AND($M$242&lt;$N$20,$M$242&gt;=$N$23),AND($M$242&gt;$N$22,$M$242&lt;=$N$25)),$M$242,"")</f>
        <v>0.04022886938718334</v>
      </c>
    </row>
    <row r="243" spans="1:18" ht="12.75">
      <c r="A243">
        <f>IF(ISBLANK(data!I45),"",data!I45)</f>
        <v>0.017293479366880037</v>
      </c>
      <c r="C243">
        <v>2.5</v>
      </c>
      <c r="D243" t="e">
        <f>IF(OR($A$243&lt;$B$24,$A$243&gt;$B$26),$A$243,#N/A)</f>
        <v>#N/A</v>
      </c>
      <c r="E243" t="e">
        <f>IF(OR(AND($A$243&lt;$B$23,$A$243&gt;=$B$24),AND($A$243&gt;$B$25,$A$243&lt;=$B$26)),$A$243,#N/A)</f>
        <v>#N/A</v>
      </c>
      <c r="F243">
        <f>IF(OR(AND($A$243&lt;$B$20,$A$243&gt;=$B$23),AND($A$243&gt;$B$22,$A$243&lt;=$B$25)),$A$243,"")</f>
      </c>
      <c r="M243">
        <f>IF(ISBLANK(data!I45),"",data!I45)</f>
        <v>0.017293479366880037</v>
      </c>
      <c r="O243">
        <v>2.5</v>
      </c>
      <c r="P243" t="e">
        <f>IF(OR($M$243&lt;$N$24,$M$243&gt;$N$26),$M$243,#N/A)</f>
        <v>#N/A</v>
      </c>
      <c r="Q243" t="e">
        <f>IF(OR(AND($M$243&lt;$N$23,$M$243&gt;=$N$24),AND($M$243&gt;$N$25,$M$243&lt;=$N$26)),$M$243,#N/A)</f>
        <v>#N/A</v>
      </c>
      <c r="R243">
        <f>IF(OR(AND($M$243&lt;$N$20,$M$243&gt;=$N$23),AND($M$243&gt;$N$22,$M$243&lt;=$N$25)),$M$243,"")</f>
      </c>
    </row>
    <row r="244" spans="1:18" ht="12.75">
      <c r="A244">
        <f>IF(ISBLANK(data!I46),"",data!I46)</f>
        <v>0.032096688673788</v>
      </c>
      <c r="C244">
        <v>2.5</v>
      </c>
      <c r="D244" t="e">
        <f>IF(OR($A$244&lt;$B$24,$A$244&gt;$B$26),$A$244,#N/A)</f>
        <v>#N/A</v>
      </c>
      <c r="E244" t="e">
        <f>IF(OR(AND($A$244&lt;$B$23,$A$244&gt;=$B$24),AND($A$244&gt;$B$25,$A$244&lt;=$B$26)),$A$244,#N/A)</f>
        <v>#N/A</v>
      </c>
      <c r="F244">
        <f>IF(OR(AND($A$244&lt;$B$20,$A$244&gt;=$B$23),AND($A$244&gt;$B$22,$A$244&lt;=$B$25)),$A$244,"")</f>
      </c>
      <c r="M244">
        <f>IF(ISBLANK(data!I46),"",data!I46)</f>
        <v>0.032096688673788</v>
      </c>
      <c r="O244">
        <v>2.5</v>
      </c>
      <c r="P244" t="e">
        <f>IF(OR($M$244&lt;$N$24,$M$244&gt;$N$26),$M$244,#N/A)</f>
        <v>#N/A</v>
      </c>
      <c r="Q244" t="e">
        <f>IF(OR(AND($M$244&lt;$N$23,$M$244&gt;=$N$24),AND($M$244&gt;$N$25,$M$244&lt;=$N$26)),$M$244,#N/A)</f>
        <v>#N/A</v>
      </c>
      <c r="R244">
        <f>IF(OR(AND($M$244&lt;$N$20,$M$244&gt;=$N$23),AND($M$244&gt;$N$22,$M$244&lt;=$N$25)),$M$244,"")</f>
      </c>
    </row>
    <row r="245" spans="1:18" ht="12.75">
      <c r="A245">
        <f>IF(ISBLANK(data!I47),"",data!I47)</f>
        <v>0.0069098163601865855</v>
      </c>
      <c r="C245">
        <v>2.5</v>
      </c>
      <c r="D245" t="e">
        <f>IF(OR($A$245&lt;$B$24,$A$245&gt;$B$26),$A$245,#N/A)</f>
        <v>#N/A</v>
      </c>
      <c r="E245" t="e">
        <f>IF(OR(AND($A$245&lt;$B$23,$A$245&gt;=$B$24),AND($A$245&gt;$B$25,$A$245&lt;=$B$26)),$A$245,#N/A)</f>
        <v>#N/A</v>
      </c>
      <c r="F245">
        <f>IF(OR(AND($A$245&lt;$B$20,$A$245&gt;=$B$23),AND($A$245&gt;$B$22,$A$245&lt;=$B$25)),$A$245,"")</f>
      </c>
      <c r="M245">
        <f>IF(ISBLANK(data!I47),"",data!I47)</f>
        <v>0.0069098163601865855</v>
      </c>
      <c r="O245">
        <v>2.5</v>
      </c>
      <c r="P245" t="e">
        <f>IF(OR($M$245&lt;$N$24,$M$245&gt;$N$26),$M$245,#N/A)</f>
        <v>#N/A</v>
      </c>
      <c r="Q245" t="e">
        <f>IF(OR(AND($M$245&lt;$N$23,$M$245&gt;=$N$24),AND($M$245&gt;$N$25,$M$245&lt;=$N$26)),$M$245,#N/A)</f>
        <v>#N/A</v>
      </c>
      <c r="R245">
        <f>IF(OR(AND($M$245&lt;$N$20,$M$245&gt;=$N$23),AND($M$245&gt;$N$22,$M$245&lt;=$N$25)),$M$245,"")</f>
      </c>
    </row>
    <row r="246" spans="1:18" ht="12.75">
      <c r="A246">
        <f>IF(ISBLANK(data!I48),"",data!I48)</f>
        <v>0.00788538453994017</v>
      </c>
      <c r="C246">
        <v>2.5</v>
      </c>
      <c r="D246" t="e">
        <f>IF(OR($A$246&lt;$B$24,$A$246&gt;$B$26),$A$246,#N/A)</f>
        <v>#N/A</v>
      </c>
      <c r="E246" t="e">
        <f>IF(OR(AND($A$246&lt;$B$23,$A$246&gt;=$B$24),AND($A$246&gt;$B$25,$A$246&lt;=$B$26)),$A$246,#N/A)</f>
        <v>#N/A</v>
      </c>
      <c r="F246">
        <f>IF(OR(AND($A$246&lt;$B$20,$A$246&gt;=$B$23),AND($A$246&gt;$B$22,$A$246&lt;=$B$25)),$A$246,"")</f>
      </c>
      <c r="M246">
        <f>IF(ISBLANK(data!I48),"",data!I48)</f>
        <v>0.00788538453994017</v>
      </c>
      <c r="O246">
        <v>2.5</v>
      </c>
      <c r="P246" t="e">
        <f>IF(OR($M$246&lt;$N$24,$M$246&gt;$N$26),$M$246,#N/A)</f>
        <v>#N/A</v>
      </c>
      <c r="Q246" t="e">
        <f>IF(OR(AND($M$246&lt;$N$23,$M$246&gt;=$N$24),AND($M$246&gt;$N$25,$M$246&lt;=$N$26)),$M$246,#N/A)</f>
        <v>#N/A</v>
      </c>
      <c r="R246">
        <f>IF(OR(AND($M$246&lt;$N$20,$M$246&gt;=$N$23),AND($M$246&gt;$N$22,$M$246&lt;=$N$25)),$M$246,"")</f>
      </c>
    </row>
    <row r="247" spans="1:18" ht="12.75">
      <c r="A247">
        <f>IF(ISBLANK(data!I49),"",data!I49)</f>
        <v>0.013342046230175701</v>
      </c>
      <c r="C247">
        <v>2.5</v>
      </c>
      <c r="D247" t="e">
        <f>IF(OR($A$247&lt;$B$24,$A$247&gt;$B$26),$A$247,#N/A)</f>
        <v>#N/A</v>
      </c>
      <c r="E247" t="e">
        <f>IF(OR(AND($A$247&lt;$B$23,$A$247&gt;=$B$24),AND($A$247&gt;$B$25,$A$247&lt;=$B$26)),$A$247,#N/A)</f>
        <v>#N/A</v>
      </c>
      <c r="F247">
        <f>IF(OR(AND($A$247&lt;$B$20,$A$247&gt;=$B$23),AND($A$247&gt;$B$22,$A$247&lt;=$B$25)),$A$247,"")</f>
      </c>
      <c r="M247">
        <f>IF(ISBLANK(data!I49),"",data!I49)</f>
        <v>0.013342046230175701</v>
      </c>
      <c r="O247">
        <v>2.5</v>
      </c>
      <c r="P247" t="e">
        <f>IF(OR($M$247&lt;$N$24,$M$247&gt;$N$26),$M$247,#N/A)</f>
        <v>#N/A</v>
      </c>
      <c r="Q247" t="e">
        <f>IF(OR(AND($M$247&lt;$N$23,$M$247&gt;=$N$24),AND($M$247&gt;$N$25,$M$247&lt;=$N$26)),$M$247,#N/A)</f>
        <v>#N/A</v>
      </c>
      <c r="R247">
        <f>IF(OR(AND($M$247&lt;$N$20,$M$247&gt;=$N$23),AND($M$247&gt;$N$22,$M$247&lt;=$N$25)),$M$247,"")</f>
      </c>
    </row>
    <row r="248" spans="1:18" ht="12.75">
      <c r="A248">
        <f>IF(ISBLANK(data!I50),"",data!I50)</f>
        <v>0.02259615972339602</v>
      </c>
      <c r="C248">
        <v>2.5</v>
      </c>
      <c r="D248" t="e">
        <f>IF(OR($A$248&lt;$B$24,$A$248&gt;$B$26),$A$248,#N/A)</f>
        <v>#N/A</v>
      </c>
      <c r="E248" t="e">
        <f>IF(OR(AND($A$248&lt;$B$23,$A$248&gt;=$B$24),AND($A$248&gt;$B$25,$A$248&lt;=$B$26)),$A$248,#N/A)</f>
        <v>#N/A</v>
      </c>
      <c r="F248">
        <f>IF(OR(AND($A$248&lt;$B$20,$A$248&gt;=$B$23),AND($A$248&gt;$B$22,$A$248&lt;=$B$25)),$A$248,"")</f>
      </c>
      <c r="M248">
        <f>IF(ISBLANK(data!I50),"",data!I50)</f>
        <v>0.02259615972339602</v>
      </c>
      <c r="O248">
        <v>2.5</v>
      </c>
      <c r="P248" t="e">
        <f>IF(OR($M$248&lt;$N$24,$M$248&gt;$N$26),$M$248,#N/A)</f>
        <v>#N/A</v>
      </c>
      <c r="Q248" t="e">
        <f>IF(OR(AND($M$248&lt;$N$23,$M$248&gt;=$N$24),AND($M$248&gt;$N$25,$M$248&lt;=$N$26)),$M$248,#N/A)</f>
        <v>#N/A</v>
      </c>
      <c r="R248">
        <f>IF(OR(AND($M$248&lt;$N$20,$M$248&gt;=$N$23),AND($M$248&gt;$N$22,$M$248&lt;=$N$25)),$M$248,"")</f>
      </c>
    </row>
    <row r="249" spans="1:18" ht="12.75">
      <c r="A249">
        <f>IF(ISBLANK(data!I51),"",data!I51)</f>
        <v>0.0022541528484939432</v>
      </c>
      <c r="C249">
        <v>2.5</v>
      </c>
      <c r="D249" t="e">
        <f>IF(OR($A$249&lt;$B$24,$A$249&gt;$B$26),$A$249,#N/A)</f>
        <v>#N/A</v>
      </c>
      <c r="E249" t="e">
        <f>IF(OR(AND($A$249&lt;$B$23,$A$249&gt;=$B$24),AND($A$249&gt;$B$25,$A$249&lt;=$B$26)),$A$249,#N/A)</f>
        <v>#N/A</v>
      </c>
      <c r="F249">
        <f>IF(OR(AND($A$249&lt;$B$20,$A$249&gt;=$B$23),AND($A$249&gt;$B$22,$A$249&lt;=$B$25)),$A$249,"")</f>
      </c>
      <c r="M249">
        <f>IF(ISBLANK(data!I51),"",data!I51)</f>
        <v>0.0022541528484939432</v>
      </c>
      <c r="O249">
        <v>2.5</v>
      </c>
      <c r="P249" t="e">
        <f>IF(OR($M$249&lt;$N$24,$M$249&gt;$N$26),$M$249,#N/A)</f>
        <v>#N/A</v>
      </c>
      <c r="Q249" t="e">
        <f>IF(OR(AND($M$249&lt;$N$23,$M$249&gt;=$N$24),AND($M$249&gt;$N$25,$M$249&lt;=$N$26)),$M$249,#N/A)</f>
        <v>#N/A</v>
      </c>
      <c r="R249">
        <f>IF(OR(AND($M$249&lt;$N$20,$M$249&gt;=$N$23),AND($M$249&gt;$N$22,$M$249&lt;=$N$25)),$M$249,"")</f>
      </c>
    </row>
    <row r="250" spans="1:18" ht="12.75">
      <c r="A250">
        <f>IF(ISBLANK(data!I52),"",data!I52)</f>
        <v>-0.046827520786961854</v>
      </c>
      <c r="C250">
        <v>2.5</v>
      </c>
      <c r="D250" t="e">
        <f>IF(OR($A$250&lt;$B$24,$A$250&gt;$B$26),$A$250,#N/A)</f>
        <v>#N/A</v>
      </c>
      <c r="E250" t="e">
        <f>IF(OR(AND($A$250&lt;$B$23,$A$250&gt;=$B$24),AND($A$250&gt;$B$25,$A$250&lt;=$B$26)),$A$250,#N/A)</f>
        <v>#N/A</v>
      </c>
      <c r="F250">
        <f>IF(OR(AND($A$250&lt;$B$20,$A$250&gt;=$B$23),AND($A$250&gt;$B$22,$A$250&lt;=$B$25)),$A$250,"")</f>
        <v>-0.046827520786961854</v>
      </c>
      <c r="M250">
        <f>IF(ISBLANK(data!I52),"",data!I52)</f>
        <v>-0.046827520786961854</v>
      </c>
      <c r="O250">
        <v>2.5</v>
      </c>
      <c r="P250" t="e">
        <f>IF(OR($M$250&lt;$N$24,$M$250&gt;$N$26),$M$250,#N/A)</f>
        <v>#N/A</v>
      </c>
      <c r="Q250" t="e">
        <f>IF(OR(AND($M$250&lt;$N$23,$M$250&gt;=$N$24),AND($M$250&gt;$N$25,$M$250&lt;=$N$26)),$M$250,#N/A)</f>
        <v>#N/A</v>
      </c>
      <c r="R250">
        <f>IF(OR(AND($M$250&lt;$N$20,$M$250&gt;=$N$23),AND($M$250&gt;$N$22,$M$250&lt;=$N$25)),$M$250,"")</f>
        <v>-0.046827520786961854</v>
      </c>
    </row>
    <row r="251" spans="1:18" ht="12.75">
      <c r="A251">
        <f>IF(ISBLANK(data!I53),"",data!I53)</f>
        <v>0.018639176083919788</v>
      </c>
      <c r="C251">
        <v>2.5</v>
      </c>
      <c r="D251" t="e">
        <f>IF(OR($A$251&lt;$B$24,$A$251&gt;$B$26),$A$251,#N/A)</f>
        <v>#N/A</v>
      </c>
      <c r="E251" t="e">
        <f>IF(OR(AND($A$251&lt;$B$23,$A$251&gt;=$B$24),AND($A$251&gt;$B$25,$A$251&lt;=$B$26)),$A$251,#N/A)</f>
        <v>#N/A</v>
      </c>
      <c r="F251">
        <f>IF(OR(AND($A$251&lt;$B$20,$A$251&gt;=$B$23),AND($A$251&gt;$B$22,$A$251&lt;=$B$25)),$A$251,"")</f>
      </c>
      <c r="M251">
        <f>IF(ISBLANK(data!I53),"",data!I53)</f>
        <v>0.018639176083919788</v>
      </c>
      <c r="O251">
        <v>2.5</v>
      </c>
      <c r="P251" t="e">
        <f>IF(OR($M$251&lt;$N$24,$M$251&gt;$N$26),$M$251,#N/A)</f>
        <v>#N/A</v>
      </c>
      <c r="Q251" t="e">
        <f>IF(OR(AND($M$251&lt;$N$23,$M$251&gt;=$N$24),AND($M$251&gt;$N$25,$M$251&lt;=$N$26)),$M$251,#N/A)</f>
        <v>#N/A</v>
      </c>
      <c r="R251">
        <f>IF(OR(AND($M$251&lt;$N$20,$M$251&gt;=$N$23),AND($M$251&gt;$N$22,$M$251&lt;=$N$25)),$M$251,"")</f>
      </c>
    </row>
    <row r="252" spans="1:18" ht="12.75">
      <c r="A252">
        <f>IF(ISBLANK(data!I54),"",data!I54)</f>
        <v>0.0527853018507915</v>
      </c>
      <c r="C252">
        <v>2.5</v>
      </c>
      <c r="D252" t="e">
        <f>IF(OR($A$252&lt;$B$24,$A$252&gt;$B$26),$A$252,#N/A)</f>
        <v>#N/A</v>
      </c>
      <c r="E252" t="e">
        <f>IF(OR(AND($A$252&lt;$B$23,$A$252&gt;=$B$24),AND($A$252&gt;$B$25,$A$252&lt;=$B$26)),$A$252,#N/A)</f>
        <v>#N/A</v>
      </c>
      <c r="F252">
        <f>IF(OR(AND($A$252&lt;$B$20,$A$252&gt;=$B$23),AND($A$252&gt;$B$22,$A$252&lt;=$B$25)),$A$252,"")</f>
        <v>0.0527853018507915</v>
      </c>
      <c r="M252">
        <f>IF(ISBLANK(data!I54),"",data!I54)</f>
        <v>0.0527853018507915</v>
      </c>
      <c r="O252">
        <v>2.5</v>
      </c>
      <c r="P252" t="e">
        <f>IF(OR($M$252&lt;$N$24,$M$252&gt;$N$26),$M$252,#N/A)</f>
        <v>#N/A</v>
      </c>
      <c r="Q252" t="e">
        <f>IF(OR(AND($M$252&lt;$N$23,$M$252&gt;=$N$24),AND($M$252&gt;$N$25,$M$252&lt;=$N$26)),$M$252,#N/A)</f>
        <v>#N/A</v>
      </c>
      <c r="R252">
        <f>IF(OR(AND($M$252&lt;$N$20,$M$252&gt;=$N$23),AND($M$252&gt;$N$22,$M$252&lt;=$N$25)),$M$252,"")</f>
        <v>0.0527853018507915</v>
      </c>
    </row>
    <row r="253" spans="1:18" ht="12.75">
      <c r="A253">
        <f>IF(ISBLANK(data!I55),"",data!I55)</f>
        <v>0.025766181981528097</v>
      </c>
      <c r="C253">
        <v>2.5</v>
      </c>
      <c r="D253" t="e">
        <f>IF(OR($A$253&lt;$B$24,$A$253&gt;$B$26),$A$253,#N/A)</f>
        <v>#N/A</v>
      </c>
      <c r="E253" t="e">
        <f>IF(OR(AND($A$253&lt;$B$23,$A$253&gt;=$B$24),AND($A$253&gt;$B$25,$A$253&lt;=$B$26)),$A$253,#N/A)</f>
        <v>#N/A</v>
      </c>
      <c r="F253">
        <f>IF(OR(AND($A$253&lt;$B$20,$A$253&gt;=$B$23),AND($A$253&gt;$B$22,$A$253&lt;=$B$25)),$A$253,"")</f>
      </c>
      <c r="M253">
        <f>IF(ISBLANK(data!I55),"",data!I55)</f>
        <v>0.025766181981528097</v>
      </c>
      <c r="O253">
        <v>2.5</v>
      </c>
      <c r="P253" t="e">
        <f>IF(OR($M$253&lt;$N$24,$M$253&gt;$N$26),$M$253,#N/A)</f>
        <v>#N/A</v>
      </c>
      <c r="Q253" t="e">
        <f>IF(OR(AND($M$253&lt;$N$23,$M$253&gt;=$N$24),AND($M$253&gt;$N$25,$M$253&lt;=$N$26)),$M$253,#N/A)</f>
        <v>#N/A</v>
      </c>
      <c r="R253">
        <f>IF(OR(AND($M$253&lt;$N$20,$M$253&gt;=$N$23),AND($M$253&gt;$N$22,$M$253&lt;=$N$25)),$M$253,"")</f>
      </c>
    </row>
    <row r="254" spans="1:18" ht="12.75">
      <c r="A254">
        <f>IF(ISBLANK(data!I56),"",data!I56)</f>
        <v>0.0708089649496645</v>
      </c>
      <c r="C254">
        <v>2.5</v>
      </c>
      <c r="D254" t="e">
        <f>IF(OR($A$254&lt;$B$24,$A$254&gt;$B$26),$A$254,#N/A)</f>
        <v>#N/A</v>
      </c>
      <c r="E254" t="e">
        <f>IF(OR(AND($A$254&lt;$B$23,$A$254&gt;=$B$24),AND($A$254&gt;$B$25,$A$254&lt;=$B$26)),$A$254,#N/A)</f>
        <v>#N/A</v>
      </c>
      <c r="F254">
        <f>IF(OR(AND($A$254&lt;$B$20,$A$254&gt;=$B$23),AND($A$254&gt;$B$22,$A$254&lt;=$B$25)),$A$254,"")</f>
        <v>0.0708089649496645</v>
      </c>
      <c r="M254">
        <f>IF(ISBLANK(data!I56),"",data!I56)</f>
        <v>0.0708089649496645</v>
      </c>
      <c r="O254">
        <v>2.5</v>
      </c>
      <c r="P254" t="e">
        <f>IF(OR($M$254&lt;$N$24,$M$254&gt;$N$26),$M$254,#N/A)</f>
        <v>#N/A</v>
      </c>
      <c r="Q254" t="e">
        <f>IF(OR(AND($M$254&lt;$N$23,$M$254&gt;=$N$24),AND($M$254&gt;$N$25,$M$254&lt;=$N$26)),$M$254,#N/A)</f>
        <v>#N/A</v>
      </c>
      <c r="R254">
        <f>IF(OR(AND($M$254&lt;$N$20,$M$254&gt;=$N$23),AND($M$254&gt;$N$22,$M$254&lt;=$N$25)),$M$254,"")</f>
        <v>0.0708089649496645</v>
      </c>
    </row>
    <row r="255" spans="1:18" ht="12.75">
      <c r="A255">
        <f>IF(ISBLANK(data!I57),"",data!I57)</f>
        <v>-0.021739986636405875</v>
      </c>
      <c r="C255">
        <v>2.5</v>
      </c>
      <c r="D255" t="e">
        <f>IF(OR($A$255&lt;$B$24,$A$255&gt;$B$26),$A$255,#N/A)</f>
        <v>#N/A</v>
      </c>
      <c r="E255" t="e">
        <f>IF(OR(AND($A$255&lt;$B$23,$A$255&gt;=$B$24),AND($A$255&gt;$B$25,$A$255&lt;=$B$26)),$A$255,#N/A)</f>
        <v>#N/A</v>
      </c>
      <c r="F255">
        <f>IF(OR(AND($A$255&lt;$B$20,$A$255&gt;=$B$23),AND($A$255&gt;$B$22,$A$255&lt;=$B$25)),$A$255,"")</f>
        <v>-0.021739986636405875</v>
      </c>
      <c r="M255">
        <f>IF(ISBLANK(data!I57),"",data!I57)</f>
        <v>-0.021739986636405875</v>
      </c>
      <c r="O255">
        <v>2.5</v>
      </c>
      <c r="P255" t="e">
        <f>IF(OR($M$255&lt;$N$24,$M$255&gt;$N$26),$M$255,#N/A)</f>
        <v>#N/A</v>
      </c>
      <c r="Q255" t="e">
        <f>IF(OR(AND($M$255&lt;$N$23,$M$255&gt;=$N$24),AND($M$255&gt;$N$25,$M$255&lt;=$N$26)),$M$255,#N/A)</f>
        <v>#N/A</v>
      </c>
      <c r="R255">
        <f>IF(OR(AND($M$255&lt;$N$20,$M$255&gt;=$N$23),AND($M$255&gt;$N$22,$M$255&lt;=$N$25)),$M$255,"")</f>
        <v>-0.021739986636405875</v>
      </c>
    </row>
    <row r="256" spans="1:18" ht="12.75">
      <c r="A256">
        <f>IF(ISBLANK(data!I58),"",data!I58)</f>
        <v>0.059510647522872405</v>
      </c>
      <c r="C256">
        <v>2.5</v>
      </c>
      <c r="D256" t="e">
        <f>IF(OR($A$256&lt;$B$24,$A$256&gt;$B$26),$A$256,#N/A)</f>
        <v>#N/A</v>
      </c>
      <c r="E256" t="e">
        <f>IF(OR(AND($A$256&lt;$B$23,$A$256&gt;=$B$24),AND($A$256&gt;$B$25,$A$256&lt;=$B$26)),$A$256,#N/A)</f>
        <v>#N/A</v>
      </c>
      <c r="F256">
        <f>IF(OR(AND($A$256&lt;$B$20,$A$256&gt;=$B$23),AND($A$256&gt;$B$22,$A$256&lt;=$B$25)),$A$256,"")</f>
        <v>0.059510647522872405</v>
      </c>
      <c r="M256">
        <f>IF(ISBLANK(data!I58),"",data!I58)</f>
        <v>0.059510647522872405</v>
      </c>
      <c r="O256">
        <v>2.5</v>
      </c>
      <c r="P256" t="e">
        <f>IF(OR($M$256&lt;$N$24,$M$256&gt;$N$26),$M$256,#N/A)</f>
        <v>#N/A</v>
      </c>
      <c r="Q256" t="e">
        <f>IF(OR(AND($M$256&lt;$N$23,$M$256&gt;=$N$24),AND($M$256&gt;$N$25,$M$256&lt;=$N$26)),$M$256,#N/A)</f>
        <v>#N/A</v>
      </c>
      <c r="R256">
        <f>IF(OR(AND($M$256&lt;$N$20,$M$256&gt;=$N$23),AND($M$256&gt;$N$22,$M$256&lt;=$N$25)),$M$256,"")</f>
        <v>0.059510647522872405</v>
      </c>
    </row>
    <row r="257" spans="1:18" ht="12.75">
      <c r="A257">
        <f>IF(ISBLANK(data!I59),"",data!I59)</f>
        <v>0.005910047767196773</v>
      </c>
      <c r="C257">
        <v>2.5</v>
      </c>
      <c r="D257" t="e">
        <f>IF(OR($A$257&lt;$B$24,$A$257&gt;$B$26),$A$257,#N/A)</f>
        <v>#N/A</v>
      </c>
      <c r="E257" t="e">
        <f>IF(OR(AND($A$257&lt;$B$23,$A$257&gt;=$B$24),AND($A$257&gt;$B$25,$A$257&lt;=$B$26)),$A$257,#N/A)</f>
        <v>#N/A</v>
      </c>
      <c r="F257">
        <f>IF(OR(AND($A$257&lt;$B$20,$A$257&gt;=$B$23),AND($A$257&gt;$B$22,$A$257&lt;=$B$25)),$A$257,"")</f>
      </c>
      <c r="M257">
        <f>IF(ISBLANK(data!I59),"",data!I59)</f>
        <v>0.005910047767196773</v>
      </c>
      <c r="O257">
        <v>2.5</v>
      </c>
      <c r="P257" t="e">
        <f>IF(OR($M$257&lt;$N$24,$M$257&gt;$N$26),$M$257,#N/A)</f>
        <v>#N/A</v>
      </c>
      <c r="Q257" t="e">
        <f>IF(OR(AND($M$257&lt;$N$23,$M$257&gt;=$N$24),AND($M$257&gt;$N$25,$M$257&lt;=$N$26)),$M$257,#N/A)</f>
        <v>#N/A</v>
      </c>
      <c r="R257">
        <f>IF(OR(AND($M$257&lt;$N$20,$M$257&gt;=$N$23),AND($M$257&gt;$N$22,$M$257&lt;=$N$25)),$M$257,"")</f>
      </c>
    </row>
    <row r="258" spans="1:18" ht="12.75">
      <c r="A258">
        <f>IF(ISBLANK(data!I60),"",data!I60)</f>
        <v>-0.04354862047140087</v>
      </c>
      <c r="C258">
        <v>2.5</v>
      </c>
      <c r="D258" t="e">
        <f>IF(OR($A$258&lt;$B$24,$A$258&gt;$B$26),$A$258,#N/A)</f>
        <v>#N/A</v>
      </c>
      <c r="E258" t="e">
        <f>IF(OR(AND($A$258&lt;$B$23,$A$258&gt;=$B$24),AND($A$258&gt;$B$25,$A$258&lt;=$B$26)),$A$258,#N/A)</f>
        <v>#N/A</v>
      </c>
      <c r="F258">
        <f>IF(OR(AND($A$258&lt;$B$20,$A$258&gt;=$B$23),AND($A$258&gt;$B$22,$A$258&lt;=$B$25)),$A$258,"")</f>
        <v>-0.04354862047140087</v>
      </c>
      <c r="M258">
        <f>IF(ISBLANK(data!I60),"",data!I60)</f>
        <v>-0.04354862047140087</v>
      </c>
      <c r="O258">
        <v>2.5</v>
      </c>
      <c r="P258" t="e">
        <f>IF(OR($M$258&lt;$N$24,$M$258&gt;$N$26),$M$258,#N/A)</f>
        <v>#N/A</v>
      </c>
      <c r="Q258" t="e">
        <f>IF(OR(AND($M$258&lt;$N$23,$M$258&gt;=$N$24),AND($M$258&gt;$N$25,$M$258&lt;=$N$26)),$M$258,#N/A)</f>
        <v>#N/A</v>
      </c>
      <c r="R258">
        <f>IF(OR(AND($M$258&lt;$N$20,$M$258&gt;=$N$23),AND($M$258&gt;$N$22,$M$258&lt;=$N$25)),$M$258,"")</f>
        <v>-0.04354862047140087</v>
      </c>
    </row>
    <row r="259" spans="1:18" ht="12.75">
      <c r="A259">
        <f>IF(ISBLANK(data!I61),"",data!I61)</f>
        <v>0.05676356506996887</v>
      </c>
      <c r="C259">
        <v>2.5</v>
      </c>
      <c r="D259" t="e">
        <f>IF(OR($A$259&lt;$B$24,$A$259&gt;$B$26),$A$259,#N/A)</f>
        <v>#N/A</v>
      </c>
      <c r="E259" t="e">
        <f>IF(OR(AND($A$259&lt;$B$23,$A$259&gt;=$B$24),AND($A$259&gt;$B$25,$A$259&lt;=$B$26)),$A$259,#N/A)</f>
        <v>#N/A</v>
      </c>
      <c r="F259">
        <f>IF(OR(AND($A$259&lt;$B$20,$A$259&gt;=$B$23),AND($A$259&gt;$B$22,$A$259&lt;=$B$25)),$A$259,"")</f>
        <v>0.05676356506996887</v>
      </c>
      <c r="M259">
        <f>IF(ISBLANK(data!I61),"",data!I61)</f>
        <v>0.05676356506996887</v>
      </c>
      <c r="O259">
        <v>2.5</v>
      </c>
      <c r="P259" t="e">
        <f>IF(OR($M$259&lt;$N$24,$M$259&gt;$N$26),$M$259,#N/A)</f>
        <v>#N/A</v>
      </c>
      <c r="Q259" t="e">
        <f>IF(OR(AND($M$259&lt;$N$23,$M$259&gt;=$N$24),AND($M$259&gt;$N$25,$M$259&lt;=$N$26)),$M$259,#N/A)</f>
        <v>#N/A</v>
      </c>
      <c r="R259">
        <f>IF(OR(AND($M$259&lt;$N$20,$M$259&gt;=$N$23),AND($M$259&gt;$N$22,$M$259&lt;=$N$25)),$M$259,"")</f>
        <v>0.05676356506996887</v>
      </c>
    </row>
    <row r="260" spans="1:18" ht="12.75">
      <c r="A260">
        <f>IF(ISBLANK(data!I62),"",data!I62)</f>
        <v>0.05692544355092693</v>
      </c>
      <c r="C260">
        <v>2.5</v>
      </c>
      <c r="D260" t="e">
        <f>IF(OR($A$260&lt;$B$24,$A$260&gt;$B$26),$A$260,#N/A)</f>
        <v>#N/A</v>
      </c>
      <c r="E260" t="e">
        <f>IF(OR(AND($A$260&lt;$B$23,$A$260&gt;=$B$24),AND($A$260&gt;$B$25,$A$260&lt;=$B$26)),$A$260,#N/A)</f>
        <v>#N/A</v>
      </c>
      <c r="F260">
        <f>IF(OR(AND($A$260&lt;$B$20,$A$260&gt;=$B$23),AND($A$260&gt;$B$22,$A$260&lt;=$B$25)),$A$260,"")</f>
        <v>0.05692544355092693</v>
      </c>
      <c r="M260">
        <f>IF(ISBLANK(data!I62),"",data!I62)</f>
        <v>0.05692544355092693</v>
      </c>
      <c r="O260">
        <v>2.5</v>
      </c>
      <c r="P260" t="e">
        <f>IF(OR($M$260&lt;$N$24,$M$260&gt;$N$26),$M$260,#N/A)</f>
        <v>#N/A</v>
      </c>
      <c r="Q260" t="e">
        <f>IF(OR(AND($M$260&lt;$N$23,$M$260&gt;=$N$24),AND($M$260&gt;$N$25,$M$260&lt;=$N$26)),$M$260,#N/A)</f>
        <v>#N/A</v>
      </c>
      <c r="R260">
        <f>IF(OR(AND($M$260&lt;$N$20,$M$260&gt;=$N$23),AND($M$260&gt;$N$22,$M$260&lt;=$N$25)),$M$260,"")</f>
        <v>0.05692544355092693</v>
      </c>
    </row>
    <row r="261" spans="1:18" ht="12.75">
      <c r="A261">
        <f>IF(ISBLANK(data!I63),"",data!I63)</f>
        <v>0.042535054616412785</v>
      </c>
      <c r="C261">
        <v>2.5</v>
      </c>
      <c r="D261" t="e">
        <f>IF(OR($A$261&lt;$B$24,$A$261&gt;$B$26),$A$261,#N/A)</f>
        <v>#N/A</v>
      </c>
      <c r="E261" t="e">
        <f>IF(OR(AND($A$261&lt;$B$23,$A$261&gt;=$B$24),AND($A$261&gt;$B$25,$A$261&lt;=$B$26)),$A$261,#N/A)</f>
        <v>#N/A</v>
      </c>
      <c r="F261">
        <f>IF(OR(AND($A$261&lt;$B$20,$A$261&gt;=$B$23),AND($A$261&gt;$B$22,$A$261&lt;=$B$25)),$A$261,"")</f>
        <v>0.042535054616412785</v>
      </c>
      <c r="M261">
        <f>IF(ISBLANK(data!I63),"",data!I63)</f>
        <v>0.042535054616412785</v>
      </c>
      <c r="O261">
        <v>2.5</v>
      </c>
      <c r="P261" t="e">
        <f>IF(OR($M$261&lt;$N$24,$M$261&gt;$N$26),$M$261,#N/A)</f>
        <v>#N/A</v>
      </c>
      <c r="Q261" t="e">
        <f>IF(OR(AND($M$261&lt;$N$23,$M$261&gt;=$N$24),AND($M$261&gt;$N$25,$M$261&lt;=$N$26)),$M$261,#N/A)</f>
        <v>#N/A</v>
      </c>
      <c r="R261">
        <f>IF(OR(AND($M$261&lt;$N$20,$M$261&gt;=$N$23),AND($M$261&gt;$N$22,$M$261&lt;=$N$25)),$M$261,"")</f>
        <v>0.042535054616412785</v>
      </c>
    </row>
    <row r="262" spans="1:18" ht="12.75">
      <c r="A262">
        <f>IF(ISBLANK(data!I64),"",data!I64)</f>
        <v>0.07524274166607597</v>
      </c>
      <c r="C262">
        <v>2.5</v>
      </c>
      <c r="D262" t="e">
        <f>IF(OR($A$262&lt;$B$24,$A$262&gt;$B$26),$A$262,#N/A)</f>
        <v>#N/A</v>
      </c>
      <c r="E262" t="e">
        <f>IF(OR(AND($A$262&lt;$B$23,$A$262&gt;=$B$24),AND($A$262&gt;$B$25,$A$262&lt;=$B$26)),$A$262,#N/A)</f>
        <v>#N/A</v>
      </c>
      <c r="F262">
        <f>IF(OR(AND($A$262&lt;$B$20,$A$262&gt;=$B$23),AND($A$262&gt;$B$22,$A$262&lt;=$B$25)),$A$262,"")</f>
        <v>0.07524274166607597</v>
      </c>
      <c r="M262">
        <f>IF(ISBLANK(data!I64),"",data!I64)</f>
        <v>0.07524274166607597</v>
      </c>
      <c r="O262">
        <v>2.5</v>
      </c>
      <c r="P262" t="e">
        <f>IF(OR($M$262&lt;$N$24,$M$262&gt;$N$26),$M$262,#N/A)</f>
        <v>#N/A</v>
      </c>
      <c r="Q262" t="e">
        <f>IF(OR(AND($M$262&lt;$N$23,$M$262&gt;=$N$24),AND($M$262&gt;$N$25,$M$262&lt;=$N$26)),$M$262,#N/A)</f>
        <v>#N/A</v>
      </c>
      <c r="R262">
        <f>IF(OR(AND($M$262&lt;$N$20,$M$262&gt;=$N$23),AND($M$262&gt;$N$22,$M$262&lt;=$N$25)),$M$262,"")</f>
        <v>0.07524274166607597</v>
      </c>
    </row>
    <row r="263" spans="1:18" ht="12.75">
      <c r="A263">
        <f>IF(ISBLANK(data!I65),"",data!I65)</f>
        <v>-0.05918286528109512</v>
      </c>
      <c r="C263">
        <v>2.5</v>
      </c>
      <c r="D263" t="e">
        <f>IF(OR($A$263&lt;$B$24,$A$263&gt;$B$26),$A$263,#N/A)</f>
        <v>#N/A</v>
      </c>
      <c r="E263" t="e">
        <f>IF(OR(AND($A$263&lt;$B$23,$A$263&gt;=$B$24),AND($A$263&gt;$B$25,$A$263&lt;=$B$26)),$A$263,#N/A)</f>
        <v>#N/A</v>
      </c>
      <c r="F263">
        <f>IF(OR(AND($A$263&lt;$B$20,$A$263&gt;=$B$23),AND($A$263&gt;$B$22,$A$263&lt;=$B$25)),$A$263,"")</f>
        <v>-0.05918286528109512</v>
      </c>
      <c r="M263">
        <f>IF(ISBLANK(data!I65),"",data!I65)</f>
        <v>-0.05918286528109512</v>
      </c>
      <c r="O263">
        <v>2.5</v>
      </c>
      <c r="P263" t="e">
        <f>IF(OR($M$263&lt;$N$24,$M$263&gt;$N$26),$M$263,#N/A)</f>
        <v>#N/A</v>
      </c>
      <c r="Q263" t="e">
        <f>IF(OR(AND($M$263&lt;$N$23,$M$263&gt;=$N$24),AND($M$263&gt;$N$25,$M$263&lt;=$N$26)),$M$263,#N/A)</f>
        <v>#N/A</v>
      </c>
      <c r="R263">
        <f>IF(OR(AND($M$263&lt;$N$20,$M$263&gt;=$N$23),AND($M$263&gt;$N$22,$M$263&lt;=$N$25)),$M$263,"")</f>
        <v>-0.05918286528109512</v>
      </c>
    </row>
    <row r="264" spans="1:18" ht="12.75">
      <c r="A264">
        <f>IF(ISBLANK(data!I66),"",data!I66)</f>
        <v>0.051789019050444966</v>
      </c>
      <c r="C264">
        <v>2.5</v>
      </c>
      <c r="D264" t="e">
        <f>IF(OR($A$264&lt;$B$24,$A$264&gt;$B$26),$A$264,#N/A)</f>
        <v>#N/A</v>
      </c>
      <c r="E264" t="e">
        <f>IF(OR(AND($A$264&lt;$B$23,$A$264&gt;=$B$24),AND($A$264&gt;$B$25,$A$264&lt;=$B$26)),$A$264,#N/A)</f>
        <v>#N/A</v>
      </c>
      <c r="F264">
        <f>IF(OR(AND($A$264&lt;$B$20,$A$264&gt;=$B$23),AND($A$264&gt;$B$22,$A$264&lt;=$B$25)),$A$264,"")</f>
        <v>0.051789019050444966</v>
      </c>
      <c r="M264">
        <f>IF(ISBLANK(data!I66),"",data!I66)</f>
        <v>0.051789019050444966</v>
      </c>
      <c r="O264">
        <v>2.5</v>
      </c>
      <c r="P264" t="e">
        <f>IF(OR($M$264&lt;$N$24,$M$264&gt;$N$26),$M$264,#N/A)</f>
        <v>#N/A</v>
      </c>
      <c r="Q264" t="e">
        <f>IF(OR(AND($M$264&lt;$N$23,$M$264&gt;=$N$24),AND($M$264&gt;$N$25,$M$264&lt;=$N$26)),$M$264,#N/A)</f>
        <v>#N/A</v>
      </c>
      <c r="R264">
        <f>IF(OR(AND($M$264&lt;$N$20,$M$264&gt;=$N$23),AND($M$264&gt;$N$22,$M$264&lt;=$N$25)),$M$264,"")</f>
        <v>0.051789019050444966</v>
      </c>
    </row>
    <row r="265" spans="1:18" ht="12.75">
      <c r="A265">
        <f>IF(ISBLANK(data!I67),"",data!I67)</f>
        <v>-0.03508604155478369</v>
      </c>
      <c r="C265">
        <v>2.5</v>
      </c>
      <c r="D265" t="e">
        <f>IF(OR($A$265&lt;$B$24,$A$265&gt;$B$26),$A$265,#N/A)</f>
        <v>#N/A</v>
      </c>
      <c r="E265" t="e">
        <f>IF(OR(AND($A$265&lt;$B$23,$A$265&gt;=$B$24),AND($A$265&gt;$B$25,$A$265&lt;=$B$26)),$A$265,#N/A)</f>
        <v>#N/A</v>
      </c>
      <c r="F265">
        <f>IF(OR(AND($A$265&lt;$B$20,$A$265&gt;=$B$23),AND($A$265&gt;$B$22,$A$265&lt;=$B$25)),$A$265,"")</f>
        <v>-0.03508604155478369</v>
      </c>
      <c r="M265">
        <f>IF(ISBLANK(data!I67),"",data!I67)</f>
        <v>-0.03508604155478369</v>
      </c>
      <c r="O265">
        <v>2.5</v>
      </c>
      <c r="P265" t="e">
        <f>IF(OR($M$265&lt;$N$24,$M$265&gt;$N$26),$M$265,#N/A)</f>
        <v>#N/A</v>
      </c>
      <c r="Q265" t="e">
        <f>IF(OR(AND($M$265&lt;$N$23,$M$265&gt;=$N$24),AND($M$265&gt;$N$25,$M$265&lt;=$N$26)),$M$265,#N/A)</f>
        <v>#N/A</v>
      </c>
      <c r="R265">
        <f>IF(OR(AND($M$265&lt;$N$20,$M$265&gt;=$N$23),AND($M$265&gt;$N$22,$M$265&lt;=$N$25)),$M$265,"")</f>
        <v>-0.03508604155478369</v>
      </c>
    </row>
    <row r="266" spans="1:18" ht="12.75">
      <c r="A266">
        <f>IF(ISBLANK(data!I68),"",data!I68)</f>
        <v>0.043621422487943796</v>
      </c>
      <c r="C266">
        <v>2.5</v>
      </c>
      <c r="D266" t="e">
        <f>IF(OR($A$266&lt;$B$24,$A$266&gt;$B$26),$A$266,#N/A)</f>
        <v>#N/A</v>
      </c>
      <c r="E266" t="e">
        <f>IF(OR(AND($A$266&lt;$B$23,$A$266&gt;=$B$24),AND($A$266&gt;$B$25,$A$266&lt;=$B$26)),$A$266,#N/A)</f>
        <v>#N/A</v>
      </c>
      <c r="F266">
        <f>IF(OR(AND($A$266&lt;$B$20,$A$266&gt;=$B$23),AND($A$266&gt;$B$22,$A$266&lt;=$B$25)),$A$266,"")</f>
        <v>0.043621422487943796</v>
      </c>
      <c r="M266">
        <f>IF(ISBLANK(data!I68),"",data!I68)</f>
        <v>0.043621422487943796</v>
      </c>
      <c r="O266">
        <v>2.5</v>
      </c>
      <c r="P266" t="e">
        <f>IF(OR($M$266&lt;$N$24,$M$266&gt;$N$26),$M$266,#N/A)</f>
        <v>#N/A</v>
      </c>
      <c r="Q266" t="e">
        <f>IF(OR(AND($M$266&lt;$N$23,$M$266&gt;=$N$24),AND($M$266&gt;$N$25,$M$266&lt;=$N$26)),$M$266,#N/A)</f>
        <v>#N/A</v>
      </c>
      <c r="R266">
        <f>IF(OR(AND($M$266&lt;$N$20,$M$266&gt;=$N$23),AND($M$266&gt;$N$22,$M$266&lt;=$N$25)),$M$266,"")</f>
        <v>0.043621422487943796</v>
      </c>
    </row>
    <row r="267" spans="1:18" ht="12.75">
      <c r="A267">
        <f>IF(ISBLANK(data!I69),"",data!I69)</f>
        <v>0.015609171282679583</v>
      </c>
      <c r="C267">
        <v>2.5</v>
      </c>
      <c r="D267" t="e">
        <f>IF(OR($A$267&lt;$B$24,$A$267&gt;$B$26),$A$267,#N/A)</f>
        <v>#N/A</v>
      </c>
      <c r="E267" t="e">
        <f>IF(OR(AND($A$267&lt;$B$23,$A$267&gt;=$B$24),AND($A$267&gt;$B$25,$A$267&lt;=$B$26)),$A$267,#N/A)</f>
        <v>#N/A</v>
      </c>
      <c r="F267">
        <f>IF(OR(AND($A$267&lt;$B$20,$A$267&gt;=$B$23),AND($A$267&gt;$B$22,$A$267&lt;=$B$25)),$A$267,"")</f>
      </c>
      <c r="M267">
        <f>IF(ISBLANK(data!I69),"",data!I69)</f>
        <v>0.015609171282679583</v>
      </c>
      <c r="O267">
        <v>2.5</v>
      </c>
      <c r="P267" t="e">
        <f>IF(OR($M$267&lt;$N$24,$M$267&gt;$N$26),$M$267,#N/A)</f>
        <v>#N/A</v>
      </c>
      <c r="Q267" t="e">
        <f>IF(OR(AND($M$267&lt;$N$23,$M$267&gt;=$N$24),AND($M$267&gt;$N$25,$M$267&lt;=$N$26)),$M$267,#N/A)</f>
        <v>#N/A</v>
      </c>
      <c r="R267">
        <f>IF(OR(AND($M$267&lt;$N$20,$M$267&gt;=$N$23),AND($M$267&gt;$N$22,$M$267&lt;=$N$25)),$M$267,"")</f>
      </c>
    </row>
    <row r="268" spans="1:18" ht="12.75">
      <c r="A268">
        <f>IF(ISBLANK(data!I70),"",data!I70)</f>
        <v>0.010098972903237103</v>
      </c>
      <c r="C268">
        <v>2.5</v>
      </c>
      <c r="D268" t="e">
        <f>IF(OR($A$268&lt;$B$24,$A$268&gt;$B$26),$A$268,#N/A)</f>
        <v>#N/A</v>
      </c>
      <c r="E268" t="e">
        <f>IF(OR(AND($A$268&lt;$B$23,$A$268&gt;=$B$24),AND($A$268&gt;$B$25,$A$268&lt;=$B$26)),$A$268,#N/A)</f>
        <v>#N/A</v>
      </c>
      <c r="F268">
        <f>IF(OR(AND($A$268&lt;$B$20,$A$268&gt;=$B$23),AND($A$268&gt;$B$22,$A$268&lt;=$B$25)),$A$268,"")</f>
      </c>
      <c r="M268">
        <f>IF(ISBLANK(data!I70),"",data!I70)</f>
        <v>0.010098972903237103</v>
      </c>
      <c r="O268">
        <v>2.5</v>
      </c>
      <c r="P268" t="e">
        <f>IF(OR($M$268&lt;$N$24,$M$268&gt;$N$26),$M$268,#N/A)</f>
        <v>#N/A</v>
      </c>
      <c r="Q268" t="e">
        <f>IF(OR(AND($M$268&lt;$N$23,$M$268&gt;=$N$24),AND($M$268&gt;$N$25,$M$268&lt;=$N$26)),$M$268,#N/A)</f>
        <v>#N/A</v>
      </c>
      <c r="R268">
        <f>IF(OR(AND($M$268&lt;$N$20,$M$268&gt;=$N$23),AND($M$268&gt;$N$22,$M$268&lt;=$N$25)),$M$268,"")</f>
      </c>
    </row>
    <row r="269" spans="1:18" ht="12.75">
      <c r="A269">
        <f>IF(ISBLANK(data!I71),"",data!I71)</f>
        <v>0.06807842894737663</v>
      </c>
      <c r="C269">
        <v>2.5</v>
      </c>
      <c r="D269" t="e">
        <f>IF(OR($A$269&lt;$B$24,$A$269&gt;$B$26),$A$269,#N/A)</f>
        <v>#N/A</v>
      </c>
      <c r="E269" t="e">
        <f>IF(OR(AND($A$269&lt;$B$23,$A$269&gt;=$B$24),AND($A$269&gt;$B$25,$A$269&lt;=$B$26)),$A$269,#N/A)</f>
        <v>#N/A</v>
      </c>
      <c r="F269">
        <f>IF(OR(AND($A$269&lt;$B$20,$A$269&gt;=$B$23),AND($A$269&gt;$B$22,$A$269&lt;=$B$25)),$A$269,"")</f>
        <v>0.06807842894737663</v>
      </c>
      <c r="M269">
        <f>IF(ISBLANK(data!I71),"",data!I71)</f>
        <v>0.06807842894737663</v>
      </c>
      <c r="O269">
        <v>2.5</v>
      </c>
      <c r="P269" t="e">
        <f>IF(OR($M$269&lt;$N$24,$M$269&gt;$N$26),$M$269,#N/A)</f>
        <v>#N/A</v>
      </c>
      <c r="Q269" t="e">
        <f>IF(OR(AND($M$269&lt;$N$23,$M$269&gt;=$N$24),AND($M$269&gt;$N$25,$M$269&lt;=$N$26)),$M$269,#N/A)</f>
        <v>#N/A</v>
      </c>
      <c r="R269">
        <f>IF(OR(AND($M$269&lt;$N$20,$M$269&gt;=$N$23),AND($M$269&gt;$N$22,$M$269&lt;=$N$25)),$M$269,"")</f>
        <v>0.06807842894737663</v>
      </c>
    </row>
    <row r="270" spans="1:18" ht="12.75">
      <c r="A270">
        <f>IF(ISBLANK(data!I72),"",data!I72)</f>
        <v>0.04873842963294152</v>
      </c>
      <c r="C270">
        <v>2.5</v>
      </c>
      <c r="D270" t="e">
        <f>IF(OR($A$270&lt;$B$24,$A$270&gt;$B$26),$A$270,#N/A)</f>
        <v>#N/A</v>
      </c>
      <c r="E270" t="e">
        <f>IF(OR(AND($A$270&lt;$B$23,$A$270&gt;=$B$24),AND($A$270&gt;$B$25,$A$270&lt;=$B$26)),$A$270,#N/A)</f>
        <v>#N/A</v>
      </c>
      <c r="F270">
        <f>IF(OR(AND($A$270&lt;$B$20,$A$270&gt;=$B$23),AND($A$270&gt;$B$22,$A$270&lt;=$B$25)),$A$270,"")</f>
        <v>0.04873842963294152</v>
      </c>
      <c r="M270">
        <f>IF(ISBLANK(data!I72),"",data!I72)</f>
        <v>0.04873842963294152</v>
      </c>
      <c r="O270">
        <v>2.5</v>
      </c>
      <c r="P270" t="e">
        <f>IF(OR($M$270&lt;$N$24,$M$270&gt;$N$26),$M$270,#N/A)</f>
        <v>#N/A</v>
      </c>
      <c r="Q270" t="e">
        <f>IF(OR(AND($M$270&lt;$N$23,$M$270&gt;=$N$24),AND($M$270&gt;$N$25,$M$270&lt;=$N$26)),$M$270,#N/A)</f>
        <v>#N/A</v>
      </c>
      <c r="R270">
        <f>IF(OR(AND($M$270&lt;$N$20,$M$270&gt;=$N$23),AND($M$270&gt;$N$22,$M$270&lt;=$N$25)),$M$270,"")</f>
        <v>0.04873842963294152</v>
      </c>
    </row>
    <row r="271" spans="1:18" ht="12.75">
      <c r="A271">
        <f>IF(ISBLANK(data!I73),"",data!I73)</f>
        <v>0.009035525668709443</v>
      </c>
      <c r="C271">
        <v>2.5</v>
      </c>
      <c r="D271" t="e">
        <f>IF(OR($A$271&lt;$B$24,$A$271&gt;$B$26),$A$271,#N/A)</f>
        <v>#N/A</v>
      </c>
      <c r="E271" t="e">
        <f>IF(OR(AND($A$271&lt;$B$23,$A$271&gt;=$B$24),AND($A$271&gt;$B$25,$A$271&lt;=$B$26)),$A$271,#N/A)</f>
        <v>#N/A</v>
      </c>
      <c r="F271">
        <f>IF(OR(AND($A$271&lt;$B$20,$A$271&gt;=$B$23),AND($A$271&gt;$B$22,$A$271&lt;=$B$25)),$A$271,"")</f>
      </c>
      <c r="M271">
        <f>IF(ISBLANK(data!I73),"",data!I73)</f>
        <v>0.009035525668709443</v>
      </c>
      <c r="O271">
        <v>2.5</v>
      </c>
      <c r="P271" t="e">
        <f>IF(OR($M$271&lt;$N$24,$M$271&gt;$N$26),$M$271,#N/A)</f>
        <v>#N/A</v>
      </c>
      <c r="Q271" t="e">
        <f>IF(OR(AND($M$271&lt;$N$23,$M$271&gt;=$N$24),AND($M$271&gt;$N$25,$M$271&lt;=$N$26)),$M$271,#N/A)</f>
        <v>#N/A</v>
      </c>
      <c r="R271">
        <f>IF(OR(AND($M$271&lt;$N$20,$M$271&gt;=$N$23),AND($M$271&gt;$N$22,$M$271&lt;=$N$25)),$M$271,"")</f>
      </c>
    </row>
    <row r="272" spans="1:18" ht="12.75">
      <c r="A272">
        <f>IF(ISBLANK(data!I74),"",data!I74)</f>
        <v>-0.019005643420609574</v>
      </c>
      <c r="C272">
        <v>2.5</v>
      </c>
      <c r="D272" t="e">
        <f>IF(OR($A$272&lt;$B$24,$A$272&gt;$B$26),$A$272,#N/A)</f>
        <v>#N/A</v>
      </c>
      <c r="E272" t="e">
        <f>IF(OR(AND($A$272&lt;$B$23,$A$272&gt;=$B$24),AND($A$272&gt;$B$25,$A$272&lt;=$B$26)),$A$272,#N/A)</f>
        <v>#N/A</v>
      </c>
      <c r="F272">
        <f>IF(OR(AND($A$272&lt;$B$20,$A$272&gt;=$B$23),AND($A$272&gt;$B$22,$A$272&lt;=$B$25)),$A$272,"")</f>
        <v>-0.019005643420609574</v>
      </c>
      <c r="M272">
        <f>IF(ISBLANK(data!I74),"",data!I74)</f>
        <v>-0.019005643420609574</v>
      </c>
      <c r="O272">
        <v>2.5</v>
      </c>
      <c r="P272" t="e">
        <f>IF(OR($M$272&lt;$N$24,$M$272&gt;$N$26),$M$272,#N/A)</f>
        <v>#N/A</v>
      </c>
      <c r="Q272" t="e">
        <f>IF(OR(AND($M$272&lt;$N$23,$M$272&gt;=$N$24),AND($M$272&gt;$N$25,$M$272&lt;=$N$26)),$M$272,#N/A)</f>
        <v>#N/A</v>
      </c>
      <c r="R272">
        <f>IF(OR(AND($M$272&lt;$N$20,$M$272&gt;=$N$23),AND($M$272&gt;$N$22,$M$272&lt;=$N$25)),$M$272,"")</f>
        <v>-0.019005643420609574</v>
      </c>
    </row>
    <row r="273" spans="1:18" ht="12.75">
      <c r="A273">
        <f>IF(ISBLANK(data!I75),"",data!I75)</f>
        <v>0.03868039488845361</v>
      </c>
      <c r="C273">
        <v>2.5</v>
      </c>
      <c r="D273" t="e">
        <f>IF(OR($A$273&lt;$B$24,$A$273&gt;$B$26),$A$273,#N/A)</f>
        <v>#N/A</v>
      </c>
      <c r="E273" t="e">
        <f>IF(OR(AND($A$273&lt;$B$23,$A$273&gt;=$B$24),AND($A$273&gt;$B$25,$A$273&lt;=$B$26)),$A$273,#N/A)</f>
        <v>#N/A</v>
      </c>
      <c r="F273">
        <f>IF(OR(AND($A$273&lt;$B$20,$A$273&gt;=$B$23),AND($A$273&gt;$B$22,$A$273&lt;=$B$25)),$A$273,"")</f>
        <v>0.03868039488845361</v>
      </c>
      <c r="M273">
        <f>IF(ISBLANK(data!I75),"",data!I75)</f>
        <v>0.03868039488845361</v>
      </c>
      <c r="O273">
        <v>2.5</v>
      </c>
      <c r="P273" t="e">
        <f>IF(OR($M$273&lt;$N$24,$M$273&gt;$N$26),$M$273,#N/A)</f>
        <v>#N/A</v>
      </c>
      <c r="Q273" t="e">
        <f>IF(OR(AND($M$273&lt;$N$23,$M$273&gt;=$N$24),AND($M$273&gt;$N$25,$M$273&lt;=$N$26)),$M$273,#N/A)</f>
        <v>#N/A</v>
      </c>
      <c r="R273">
        <f>IF(OR(AND($M$273&lt;$N$20,$M$273&gt;=$N$23),AND($M$273&gt;$N$22,$M$273&lt;=$N$25)),$M$273,"")</f>
        <v>0.03868039488845361</v>
      </c>
    </row>
    <row r="274" spans="1:18" ht="12.75">
      <c r="A274">
        <f>IF(ISBLANK(data!I76),"",data!I76)</f>
        <v>-0.011683381142634086</v>
      </c>
      <c r="C274">
        <v>2.5</v>
      </c>
      <c r="D274" t="e">
        <f>IF(OR($A$274&lt;$B$24,$A$274&gt;$B$26),$A$274,#N/A)</f>
        <v>#N/A</v>
      </c>
      <c r="E274" t="e">
        <f>IF(OR(AND($A$274&lt;$B$23,$A$274&gt;=$B$24),AND($A$274&gt;$B$25,$A$274&lt;=$B$26)),$A$274,#N/A)</f>
        <v>#N/A</v>
      </c>
      <c r="F274">
        <f>IF(OR(AND($A$274&lt;$B$20,$A$274&gt;=$B$23),AND($A$274&gt;$B$22,$A$274&lt;=$B$25)),$A$274,"")</f>
      </c>
      <c r="M274">
        <f>IF(ISBLANK(data!I76),"",data!I76)</f>
        <v>-0.011683381142634086</v>
      </c>
      <c r="O274">
        <v>2.5</v>
      </c>
      <c r="P274" t="e">
        <f>IF(OR($M$274&lt;$N$24,$M$274&gt;$N$26),$M$274,#N/A)</f>
        <v>#N/A</v>
      </c>
      <c r="Q274" t="e">
        <f>IF(OR(AND($M$274&lt;$N$23,$M$274&gt;=$N$24),AND($M$274&gt;$N$25,$M$274&lt;=$N$26)),$M$274,#N/A)</f>
        <v>#N/A</v>
      </c>
      <c r="R274">
        <f>IF(OR(AND($M$274&lt;$N$20,$M$274&gt;=$N$23),AND($M$274&gt;$N$22,$M$274&lt;=$N$25)),$M$274,"")</f>
      </c>
    </row>
    <row r="275" spans="1:18" ht="12.75">
      <c r="A275">
        <f>IF(ISBLANK(data!I77),"",data!I77)</f>
        <v>-0.15758607007429418</v>
      </c>
      <c r="C275">
        <v>2.5</v>
      </c>
      <c r="D275" t="e">
        <f>IF(OR($A$275&lt;$B$24,$A$275&gt;$B$26),$A$275,#N/A)</f>
        <v>#N/A</v>
      </c>
      <c r="E275">
        <f>IF(OR(AND($A$275&lt;$B$23,$A$275&gt;=$B$24),AND($A$275&gt;$B$25,$A$275&lt;=$B$26)),$A$275,#N/A)</f>
        <v>-0.15758607007429418</v>
      </c>
      <c r="F275">
        <f>IF(OR(AND($A$275&lt;$B$20,$A$275&gt;=$B$23),AND($A$275&gt;$B$22,$A$275&lt;=$B$25)),$A$275,"")</f>
      </c>
      <c r="M275">
        <f>IF(ISBLANK(data!I77),"",data!I77)</f>
        <v>-0.15758607007429418</v>
      </c>
      <c r="O275">
        <v>2.5</v>
      </c>
      <c r="P275" t="e">
        <f>IF(OR($M$275&lt;$N$24,$M$275&gt;$N$26),$M$275,#N/A)</f>
        <v>#N/A</v>
      </c>
      <c r="Q275">
        <f>IF(OR(AND($M$275&lt;$N$23,$M$275&gt;=$N$24),AND($M$275&gt;$N$25,$M$275&lt;=$N$26)),$M$275,#N/A)</f>
        <v>-0.15758607007429418</v>
      </c>
      <c r="R275">
        <f>IF(OR(AND($M$275&lt;$N$20,$M$275&gt;=$N$23),AND($M$275&gt;$N$22,$M$275&lt;=$N$25)),$M$275,"")</f>
      </c>
    </row>
    <row r="276" spans="1:18" ht="12.75">
      <c r="A276">
        <f>IF(ISBLANK(data!I78),"",data!I78)</f>
        <v>0.06052629920018749</v>
      </c>
      <c r="C276">
        <v>2.5</v>
      </c>
      <c r="D276" t="e">
        <f>IF(OR($A$276&lt;$B$24,$A$276&gt;$B$26),$A$276,#N/A)</f>
        <v>#N/A</v>
      </c>
      <c r="E276" t="e">
        <f>IF(OR(AND($A$276&lt;$B$23,$A$276&gt;=$B$24),AND($A$276&gt;$B$25,$A$276&lt;=$B$26)),$A$276,#N/A)</f>
        <v>#N/A</v>
      </c>
      <c r="F276">
        <f>IF(OR(AND($A$276&lt;$B$20,$A$276&gt;=$B$23),AND($A$276&gt;$B$22,$A$276&lt;=$B$25)),$A$276,"")</f>
        <v>0.06052629920018749</v>
      </c>
      <c r="M276">
        <f>IF(ISBLANK(data!I78),"",data!I78)</f>
        <v>0.06052629920018749</v>
      </c>
      <c r="O276">
        <v>2.5</v>
      </c>
      <c r="P276" t="e">
        <f>IF(OR($M$276&lt;$N$24,$M$276&gt;$N$26),$M$276,#N/A)</f>
        <v>#N/A</v>
      </c>
      <c r="Q276" t="e">
        <f>IF(OR(AND($M$276&lt;$N$23,$M$276&gt;=$N$24),AND($M$276&gt;$N$25,$M$276&lt;=$N$26)),$M$276,#N/A)</f>
        <v>#N/A</v>
      </c>
      <c r="R276">
        <f>IF(OR(AND($M$276&lt;$N$20,$M$276&gt;=$N$23),AND($M$276&gt;$N$22,$M$276&lt;=$N$25)),$M$276,"")</f>
        <v>0.06052629920018749</v>
      </c>
    </row>
    <row r="277" spans="1:18" ht="12.75">
      <c r="A277">
        <f>IF(ISBLANK(data!I79),"",data!I79)</f>
        <v>0.07723340749532363</v>
      </c>
      <c r="C277">
        <v>2.5</v>
      </c>
      <c r="D277" t="e">
        <f>IF(OR($A$277&lt;$B$24,$A$277&gt;$B$26),$A$277,#N/A)</f>
        <v>#N/A</v>
      </c>
      <c r="E277" t="e">
        <f>IF(OR(AND($A$277&lt;$B$23,$A$277&gt;=$B$24),AND($A$277&gt;$B$25,$A$277&lt;=$B$26)),$A$277,#N/A)</f>
        <v>#N/A</v>
      </c>
      <c r="F277">
        <f>IF(OR(AND($A$277&lt;$B$20,$A$277&gt;=$B$23),AND($A$277&gt;$B$22,$A$277&lt;=$B$25)),$A$277,"")</f>
        <v>0.07723340749532363</v>
      </c>
      <c r="M277">
        <f>IF(ISBLANK(data!I79),"",data!I79)</f>
        <v>0.07723340749532363</v>
      </c>
      <c r="O277">
        <v>2.5</v>
      </c>
      <c r="P277" t="e">
        <f>IF(OR($M$277&lt;$N$24,$M$277&gt;$N$26),$M$277,#N/A)</f>
        <v>#N/A</v>
      </c>
      <c r="Q277" t="e">
        <f>IF(OR(AND($M$277&lt;$N$23,$M$277&gt;=$N$24),AND($M$277&gt;$N$25,$M$277&lt;=$N$26)),$M$277,#N/A)</f>
        <v>#N/A</v>
      </c>
      <c r="R277">
        <f>IF(OR(AND($M$277&lt;$N$20,$M$277&gt;=$N$23),AND($M$277&gt;$N$22,$M$277&lt;=$N$25)),$M$277,"")</f>
        <v>0.07723340749532363</v>
      </c>
    </row>
    <row r="278" spans="1:18" ht="12.75">
      <c r="A278">
        <f>IF(ISBLANK(data!I80),"",data!I80)</f>
        <v>0.05744407200715167</v>
      </c>
      <c r="C278">
        <v>2.5</v>
      </c>
      <c r="D278" t="e">
        <f>IF(OR($A$278&lt;$B$24,$A$278&gt;$B$26),$A$278,#N/A)</f>
        <v>#N/A</v>
      </c>
      <c r="E278" t="e">
        <f>IF(OR(AND($A$278&lt;$B$23,$A$278&gt;=$B$24),AND($A$278&gt;$B$25,$A$278&lt;=$B$26)),$A$278,#N/A)</f>
        <v>#N/A</v>
      </c>
      <c r="F278">
        <f>IF(OR(AND($A$278&lt;$B$20,$A$278&gt;=$B$23),AND($A$278&gt;$B$22,$A$278&lt;=$B$25)),$A$278,"")</f>
        <v>0.05744407200715167</v>
      </c>
      <c r="M278">
        <f>IF(ISBLANK(data!I80),"",data!I80)</f>
        <v>0.05744407200715167</v>
      </c>
      <c r="O278">
        <v>2.5</v>
      </c>
      <c r="P278" t="e">
        <f>IF(OR($M$278&lt;$N$24,$M$278&gt;$N$26),$M$278,#N/A)</f>
        <v>#N/A</v>
      </c>
      <c r="Q278" t="e">
        <f>IF(OR(AND($M$278&lt;$N$23,$M$278&gt;=$N$24),AND($M$278&gt;$N$25,$M$278&lt;=$N$26)),$M$278,#N/A)</f>
        <v>#N/A</v>
      </c>
      <c r="R278">
        <f>IF(OR(AND($M$278&lt;$N$20,$M$278&gt;=$N$23),AND($M$278&gt;$N$22,$M$278&lt;=$N$25)),$M$278,"")</f>
        <v>0.05744407200715167</v>
      </c>
    </row>
    <row r="279" spans="1:18" ht="12.75">
      <c r="A279">
        <f>IF(ISBLANK(data!I81),"",data!I81)</f>
        <v>0.054843527731920916</v>
      </c>
      <c r="C279">
        <v>2.5</v>
      </c>
      <c r="D279" t="e">
        <f>IF(OR($A$279&lt;$B$24,$A$279&gt;$B$26),$A$279,#N/A)</f>
        <v>#N/A</v>
      </c>
      <c r="E279" t="e">
        <f>IF(OR(AND($A$279&lt;$B$23,$A$279&gt;=$B$24),AND($A$279&gt;$B$25,$A$279&lt;=$B$26)),$A$279,#N/A)</f>
        <v>#N/A</v>
      </c>
      <c r="F279">
        <f>IF(OR(AND($A$279&lt;$B$20,$A$279&gt;=$B$23),AND($A$279&gt;$B$22,$A$279&lt;=$B$25)),$A$279,"")</f>
        <v>0.054843527731920916</v>
      </c>
      <c r="M279">
        <f>IF(ISBLANK(data!I81),"",data!I81)</f>
        <v>0.054843527731920916</v>
      </c>
      <c r="O279">
        <v>2.5</v>
      </c>
      <c r="P279" t="e">
        <f>IF(OR($M$279&lt;$N$24,$M$279&gt;$N$26),$M$279,#N/A)</f>
        <v>#N/A</v>
      </c>
      <c r="Q279" t="e">
        <f>IF(OR(AND($M$279&lt;$N$23,$M$279&gt;=$N$24),AND($M$279&gt;$N$25,$M$279&lt;=$N$26)),$M$279,#N/A)</f>
        <v>#N/A</v>
      </c>
      <c r="R279">
        <f>IF(OR(AND($M$279&lt;$N$20,$M$279&gt;=$N$23),AND($M$279&gt;$N$22,$M$279&lt;=$N$25)),$M$279,"")</f>
        <v>0.054843527731920916</v>
      </c>
    </row>
    <row r="280" spans="1:18" ht="12.75">
      <c r="A280">
        <f>IF(ISBLANK(data!I82),"",data!I82)</f>
        <v>0.040190831279158935</v>
      </c>
      <c r="C280">
        <v>2.5</v>
      </c>
      <c r="D280" t="e">
        <f>IF(OR($A$280&lt;$B$24,$A$280&gt;$B$26),$A$280,#N/A)</f>
        <v>#N/A</v>
      </c>
      <c r="E280" t="e">
        <f>IF(OR(AND($A$280&lt;$B$23,$A$280&gt;=$B$24),AND($A$280&gt;$B$25,$A$280&lt;=$B$26)),$A$280,#N/A)</f>
        <v>#N/A</v>
      </c>
      <c r="F280">
        <f>IF(OR(AND($A$280&lt;$B$20,$A$280&gt;=$B$23),AND($A$280&gt;$B$22,$A$280&lt;=$B$25)),$A$280,"")</f>
        <v>0.040190831279158935</v>
      </c>
      <c r="M280">
        <f>IF(ISBLANK(data!I82),"",data!I82)</f>
        <v>0.040190831279158935</v>
      </c>
      <c r="O280">
        <v>2.5</v>
      </c>
      <c r="P280" t="e">
        <f>IF(OR($M$280&lt;$N$24,$M$280&gt;$N$26),$M$280,#N/A)</f>
        <v>#N/A</v>
      </c>
      <c r="Q280" t="e">
        <f>IF(OR(AND($M$280&lt;$N$23,$M$280&gt;=$N$24),AND($M$280&gt;$N$25,$M$280&lt;=$N$26)),$M$280,#N/A)</f>
        <v>#N/A</v>
      </c>
      <c r="R280">
        <f>IF(OR(AND($M$280&lt;$N$20,$M$280&gt;=$N$23),AND($M$280&gt;$N$22,$M$280&lt;=$N$25)),$M$280,"")</f>
        <v>0.040190831279158935</v>
      </c>
    </row>
    <row r="281" spans="1:18" ht="12.75">
      <c r="A281">
        <f>IF(ISBLANK(data!I83),"",data!I83)</f>
        <v>-0.032815090665377786</v>
      </c>
      <c r="C281">
        <v>2.5</v>
      </c>
      <c r="D281" t="e">
        <f>IF(OR($A$281&lt;$B$24,$A$281&gt;$B$26),$A$281,#N/A)</f>
        <v>#N/A</v>
      </c>
      <c r="E281" t="e">
        <f>IF(OR(AND($A$281&lt;$B$23,$A$281&gt;=$B$24),AND($A$281&gt;$B$25,$A$281&lt;=$B$26)),$A$281,#N/A)</f>
        <v>#N/A</v>
      </c>
      <c r="F281">
        <f>IF(OR(AND($A$281&lt;$B$20,$A$281&gt;=$B$23),AND($A$281&gt;$B$22,$A$281&lt;=$B$25)),$A$281,"")</f>
        <v>-0.032815090665377786</v>
      </c>
      <c r="M281">
        <f>IF(ISBLANK(data!I83),"",data!I83)</f>
        <v>-0.032815090665377786</v>
      </c>
      <c r="O281">
        <v>2.5</v>
      </c>
      <c r="P281" t="e">
        <f>IF(OR($M$281&lt;$N$24,$M$281&gt;$N$26),$M$281,#N/A)</f>
        <v>#N/A</v>
      </c>
      <c r="Q281" t="e">
        <f>IF(OR(AND($M$281&lt;$N$23,$M$281&gt;=$N$24),AND($M$281&gt;$N$25,$M$281&lt;=$N$26)),$M$281,#N/A)</f>
        <v>#N/A</v>
      </c>
      <c r="R281">
        <f>IF(OR(AND($M$281&lt;$N$20,$M$281&gt;=$N$23),AND($M$281&gt;$N$22,$M$281&lt;=$N$25)),$M$281,"")</f>
        <v>-0.032815090665377786</v>
      </c>
    </row>
    <row r="282" spans="1:18" ht="12.75">
      <c r="A282">
        <f>IF(ISBLANK(data!I84),"",data!I84)</f>
        <v>0.03806060056715658</v>
      </c>
      <c r="C282">
        <v>2.5</v>
      </c>
      <c r="D282" t="e">
        <f>IF(OR($A$282&lt;$B$24,$A$282&gt;$B$26),$A$282,#N/A)</f>
        <v>#N/A</v>
      </c>
      <c r="E282" t="e">
        <f>IF(OR(AND($A$282&lt;$B$23,$A$282&gt;=$B$24),AND($A$282&gt;$B$25,$A$282&lt;=$B$26)),$A$282,#N/A)</f>
        <v>#N/A</v>
      </c>
      <c r="F282">
        <f>IF(OR(AND($A$282&lt;$B$20,$A$282&gt;=$B$23),AND($A$282&gt;$B$22,$A$282&lt;=$B$25)),$A$282,"")</f>
      </c>
      <c r="M282">
        <f>IF(ISBLANK(data!I84),"",data!I84)</f>
        <v>0.03806060056715658</v>
      </c>
      <c r="O282">
        <v>2.5</v>
      </c>
      <c r="P282" t="e">
        <f>IF(OR($M$282&lt;$N$24,$M$282&gt;$N$26),$M$282,#N/A)</f>
        <v>#N/A</v>
      </c>
      <c r="Q282" t="e">
        <f>IF(OR(AND($M$282&lt;$N$23,$M$282&gt;=$N$24),AND($M$282&gt;$N$25,$M$282&lt;=$N$26)),$M$282,#N/A)</f>
        <v>#N/A</v>
      </c>
      <c r="R282">
        <f>IF(OR(AND($M$282&lt;$N$20,$M$282&gt;=$N$23),AND($M$282&gt;$N$22,$M$282&lt;=$N$25)),$M$282,"")</f>
      </c>
    </row>
    <row r="283" spans="1:18" ht="12.75">
      <c r="A283">
        <f>IF(ISBLANK(data!I85),"",data!I85)</f>
        <v>0.037241815948836486</v>
      </c>
      <c r="C283">
        <v>2.5</v>
      </c>
      <c r="D283" t="e">
        <f>IF(OR($A$283&lt;$B$24,$A$283&gt;$B$26),$A$283,#N/A)</f>
        <v>#N/A</v>
      </c>
      <c r="E283" t="e">
        <f>IF(OR(AND($A$283&lt;$B$23,$A$283&gt;=$B$24),AND($A$283&gt;$B$25,$A$283&lt;=$B$26)),$A$283,#N/A)</f>
        <v>#N/A</v>
      </c>
      <c r="F283">
        <f>IF(OR(AND($A$283&lt;$B$20,$A$283&gt;=$B$23),AND($A$283&gt;$B$22,$A$283&lt;=$B$25)),$A$283,"")</f>
      </c>
      <c r="M283">
        <f>IF(ISBLANK(data!I85),"",data!I85)</f>
        <v>0.037241815948836486</v>
      </c>
      <c r="O283">
        <v>2.5</v>
      </c>
      <c r="P283" t="e">
        <f>IF(OR($M$283&lt;$N$24,$M$283&gt;$N$26),$M$283,#N/A)</f>
        <v>#N/A</v>
      </c>
      <c r="Q283" t="e">
        <f>IF(OR(AND($M$283&lt;$N$23,$M$283&gt;=$N$24),AND($M$283&gt;$N$25,$M$283&lt;=$N$26)),$M$283,#N/A)</f>
        <v>#N/A</v>
      </c>
      <c r="R283">
        <f>IF(OR(AND($M$283&lt;$N$20,$M$283&gt;=$N$23),AND($M$283&gt;$N$22,$M$283&lt;=$N$25)),$M$283,"")</f>
      </c>
    </row>
    <row r="284" spans="1:18" ht="12.75">
      <c r="A284">
        <f>IF(ISBLANK(data!I86),"",data!I86)</f>
        <v>-0.025287465853720853</v>
      </c>
      <c r="C284">
        <v>2.5</v>
      </c>
      <c r="D284" t="e">
        <f>IF(OR($A$284&lt;$B$24,$A$284&gt;$B$26),$A$284,#N/A)</f>
        <v>#N/A</v>
      </c>
      <c r="E284" t="e">
        <f>IF(OR(AND($A$284&lt;$B$23,$A$284&gt;=$B$24),AND($A$284&gt;$B$25,$A$284&lt;=$B$26)),$A$284,#N/A)</f>
        <v>#N/A</v>
      </c>
      <c r="F284">
        <f>IF(OR(AND($A$284&lt;$B$20,$A$284&gt;=$B$23),AND($A$284&gt;$B$22,$A$284&lt;=$B$25)),$A$284,"")</f>
        <v>-0.025287465853720853</v>
      </c>
      <c r="M284">
        <f>IF(ISBLANK(data!I86),"",data!I86)</f>
        <v>-0.025287465853720853</v>
      </c>
      <c r="O284">
        <v>2.5</v>
      </c>
      <c r="P284" t="e">
        <f>IF(OR($M$284&lt;$N$24,$M$284&gt;$N$26),$M$284,#N/A)</f>
        <v>#N/A</v>
      </c>
      <c r="Q284" t="e">
        <f>IF(OR(AND($M$284&lt;$N$23,$M$284&gt;=$N$24),AND($M$284&gt;$N$25,$M$284&lt;=$N$26)),$M$284,#N/A)</f>
        <v>#N/A</v>
      </c>
      <c r="R284">
        <f>IF(OR(AND($M$284&lt;$N$20,$M$284&gt;=$N$23),AND($M$284&gt;$N$22,$M$284&lt;=$N$25)),$M$284,"")</f>
        <v>-0.025287465853720853</v>
      </c>
    </row>
    <row r="285" spans="1:18" ht="12.75">
      <c r="A285">
        <f>IF(ISBLANK(data!I87),"",data!I87)</f>
        <v>0.05300823979166552</v>
      </c>
      <c r="C285">
        <v>2.5</v>
      </c>
      <c r="D285" t="e">
        <f>IF(OR($A$285&lt;$B$24,$A$285&gt;$B$26),$A$285,#N/A)</f>
        <v>#N/A</v>
      </c>
      <c r="E285" t="e">
        <f>IF(OR(AND($A$285&lt;$B$23,$A$285&gt;=$B$24),AND($A$285&gt;$B$25,$A$285&lt;=$B$26)),$A$285,#N/A)</f>
        <v>#N/A</v>
      </c>
      <c r="F285">
        <f>IF(OR(AND($A$285&lt;$B$20,$A$285&gt;=$B$23),AND($A$285&gt;$B$22,$A$285&lt;=$B$25)),$A$285,"")</f>
        <v>0.05300823979166552</v>
      </c>
      <c r="M285">
        <f>IF(ISBLANK(data!I87),"",data!I87)</f>
        <v>0.05300823979166552</v>
      </c>
      <c r="O285">
        <v>2.5</v>
      </c>
      <c r="P285" t="e">
        <f>IF(OR($M$285&lt;$N$24,$M$285&gt;$N$26),$M$285,#N/A)</f>
        <v>#N/A</v>
      </c>
      <c r="Q285" t="e">
        <f>IF(OR(AND($M$285&lt;$N$23,$M$285&gt;=$N$24),AND($M$285&gt;$N$25,$M$285&lt;=$N$26)),$M$285,#N/A)</f>
        <v>#N/A</v>
      </c>
      <c r="R285">
        <f>IF(OR(AND($M$285&lt;$N$20,$M$285&gt;=$N$23),AND($M$285&gt;$N$22,$M$285&lt;=$N$25)),$M$285,"")</f>
        <v>0.05300823979166552</v>
      </c>
    </row>
    <row r="286" spans="1:18" ht="12.75">
      <c r="A286">
        <f>IF(ISBLANK(data!I88),"",data!I88)</f>
        <v>-0.03257081535328095</v>
      </c>
      <c r="C286">
        <v>2.5</v>
      </c>
      <c r="D286" t="e">
        <f>IF(OR($A$286&lt;$B$24,$A$286&gt;$B$26),$A$286,#N/A)</f>
        <v>#N/A</v>
      </c>
      <c r="E286" t="e">
        <f>IF(OR(AND($A$286&lt;$B$23,$A$286&gt;=$B$24),AND($A$286&gt;$B$25,$A$286&lt;=$B$26)),$A$286,#N/A)</f>
        <v>#N/A</v>
      </c>
      <c r="F286">
        <f>IF(OR(AND($A$286&lt;$B$20,$A$286&gt;=$B$23),AND($A$286&gt;$B$22,$A$286&lt;=$B$25)),$A$286,"")</f>
        <v>-0.03257081535328095</v>
      </c>
      <c r="M286">
        <f>IF(ISBLANK(data!I88),"",data!I88)</f>
        <v>-0.03257081535328095</v>
      </c>
      <c r="O286">
        <v>2.5</v>
      </c>
      <c r="P286" t="e">
        <f>IF(OR($M$286&lt;$N$24,$M$286&gt;$N$26),$M$286,#N/A)</f>
        <v>#N/A</v>
      </c>
      <c r="Q286" t="e">
        <f>IF(OR(AND($M$286&lt;$N$23,$M$286&gt;=$N$24),AND($M$286&gt;$N$25,$M$286&lt;=$N$26)),$M$286,#N/A)</f>
        <v>#N/A</v>
      </c>
      <c r="R286">
        <f>IF(OR(AND($M$286&lt;$N$20,$M$286&gt;=$N$23),AND($M$286&gt;$N$22,$M$286&lt;=$N$25)),$M$286,"")</f>
        <v>-0.03257081535328095</v>
      </c>
    </row>
    <row r="287" spans="1:18" ht="12.75">
      <c r="A287">
        <f>IF(ISBLANK(data!I89),"",data!I89)</f>
        <v>-0.006273778377796873</v>
      </c>
      <c r="C287">
        <v>2.5</v>
      </c>
      <c r="D287" t="e">
        <f>IF(OR($A$287&lt;$B$24,$A$287&gt;$B$26),$A$287,#N/A)</f>
        <v>#N/A</v>
      </c>
      <c r="E287" t="e">
        <f>IF(OR(AND($A$287&lt;$B$23,$A$287&gt;=$B$24),AND($A$287&gt;$B$25,$A$287&lt;=$B$26)),$A$287,#N/A)</f>
        <v>#N/A</v>
      </c>
      <c r="F287">
        <f>IF(OR(AND($A$287&lt;$B$20,$A$287&gt;=$B$23),AND($A$287&gt;$B$22,$A$287&lt;=$B$25)),$A$287,"")</f>
      </c>
      <c r="M287">
        <f>IF(ISBLANK(data!I89),"",data!I89)</f>
        <v>-0.006273778377796873</v>
      </c>
      <c r="O287">
        <v>2.5</v>
      </c>
      <c r="P287" t="e">
        <f>IF(OR($M$287&lt;$N$24,$M$287&gt;$N$26),$M$287,#N/A)</f>
        <v>#N/A</v>
      </c>
      <c r="Q287" t="e">
        <f>IF(OR(AND($M$287&lt;$N$23,$M$287&gt;=$N$24),AND($M$287&gt;$N$25,$M$287&lt;=$N$26)),$M$287,#N/A)</f>
        <v>#N/A</v>
      </c>
      <c r="R287">
        <f>IF(OR(AND($M$287&lt;$N$20,$M$287&gt;=$N$23),AND($M$287&gt;$N$22,$M$287&lt;=$N$25)),$M$287,"")</f>
      </c>
    </row>
    <row r="288" spans="1:18" ht="12.75">
      <c r="A288">
        <f>IF(ISBLANK(data!I90),"",data!I90)</f>
        <v>-0.028967267082334575</v>
      </c>
      <c r="C288">
        <v>2.5</v>
      </c>
      <c r="D288" t="e">
        <f>IF(OR($A$288&lt;$B$24,$A$288&gt;$B$26),$A$288,#N/A)</f>
        <v>#N/A</v>
      </c>
      <c r="E288" t="e">
        <f>IF(OR(AND($A$288&lt;$B$23,$A$288&gt;=$B$24),AND($A$288&gt;$B$25,$A$288&lt;=$B$26)),$A$288,#N/A)</f>
        <v>#N/A</v>
      </c>
      <c r="F288">
        <f>IF(OR(AND($A$288&lt;$B$20,$A$288&gt;=$B$23),AND($A$288&gt;$B$22,$A$288&lt;=$B$25)),$A$288,"")</f>
        <v>-0.028967267082334575</v>
      </c>
      <c r="M288">
        <f>IF(ISBLANK(data!I90),"",data!I90)</f>
        <v>-0.028967267082334575</v>
      </c>
      <c r="O288">
        <v>2.5</v>
      </c>
      <c r="P288" t="e">
        <f>IF(OR($M$288&lt;$N$24,$M$288&gt;$N$26),$M$288,#N/A)</f>
        <v>#N/A</v>
      </c>
      <c r="Q288" t="e">
        <f>IF(OR(AND($M$288&lt;$N$23,$M$288&gt;=$N$24),AND($M$288&gt;$N$25,$M$288&lt;=$N$26)),$M$288,#N/A)</f>
        <v>#N/A</v>
      </c>
      <c r="R288">
        <f>IF(OR(AND($M$288&lt;$N$20,$M$288&gt;=$N$23),AND($M$288&gt;$N$22,$M$288&lt;=$N$25)),$M$288,"")</f>
        <v>-0.028967267082334575</v>
      </c>
    </row>
    <row r="289" spans="1:18" ht="12.75">
      <c r="A289">
        <f>IF(ISBLANK(data!I91),"",data!I91)</f>
        <v>0.06066176674701588</v>
      </c>
      <c r="C289">
        <v>2.5</v>
      </c>
      <c r="D289" t="e">
        <f>IF(OR($A$289&lt;$B$24,$A$289&gt;$B$26),$A$289,#N/A)</f>
        <v>#N/A</v>
      </c>
      <c r="E289" t="e">
        <f>IF(OR(AND($A$289&lt;$B$23,$A$289&gt;=$B$24),AND($A$289&gt;$B$25,$A$289&lt;=$B$26)),$A$289,#N/A)</f>
        <v>#N/A</v>
      </c>
      <c r="F289">
        <f>IF(OR(AND($A$289&lt;$B$20,$A$289&gt;=$B$23),AND($A$289&gt;$B$22,$A$289&lt;=$B$25)),$A$289,"")</f>
        <v>0.06066176674701588</v>
      </c>
      <c r="M289">
        <f>IF(ISBLANK(data!I91),"",data!I91)</f>
        <v>0.06066176674701588</v>
      </c>
      <c r="O289">
        <v>2.5</v>
      </c>
      <c r="P289" t="e">
        <f>IF(OR($M$289&lt;$N$24,$M$289&gt;$N$26),$M$289,#N/A)</f>
        <v>#N/A</v>
      </c>
      <c r="Q289" t="e">
        <f>IF(OR(AND($M$289&lt;$N$23,$M$289&gt;=$N$24),AND($M$289&gt;$N$25,$M$289&lt;=$N$26)),$M$289,#N/A)</f>
        <v>#N/A</v>
      </c>
      <c r="R289">
        <f>IF(OR(AND($M$289&lt;$N$20,$M$289&gt;=$N$23),AND($M$289&gt;$N$22,$M$289&lt;=$N$25)),$M$289,"")</f>
        <v>0.06066176674701588</v>
      </c>
    </row>
    <row r="290" spans="1:18" ht="12.75">
      <c r="A290">
        <f>IF(ISBLANK(data!I92),"",data!I92)</f>
        <v>0.018882472761026243</v>
      </c>
      <c r="C290">
        <v>2.5</v>
      </c>
      <c r="D290" t="e">
        <f>IF(OR($A$290&lt;$B$24,$A$290&gt;$B$26),$A$290,#N/A)</f>
        <v>#N/A</v>
      </c>
      <c r="E290" t="e">
        <f>IF(OR(AND($A$290&lt;$B$23,$A$290&gt;=$B$24),AND($A$290&gt;$B$25,$A$290&lt;=$B$26)),$A$290,#N/A)</f>
        <v>#N/A</v>
      </c>
      <c r="F290">
        <f>IF(OR(AND($A$290&lt;$B$20,$A$290&gt;=$B$23),AND($A$290&gt;$B$22,$A$290&lt;=$B$25)),$A$290,"")</f>
      </c>
      <c r="M290">
        <f>IF(ISBLANK(data!I92),"",data!I92)</f>
        <v>0.018882472761026243</v>
      </c>
      <c r="O290">
        <v>2.5</v>
      </c>
      <c r="P290" t="e">
        <f>IF(OR($M$290&lt;$N$24,$M$290&gt;$N$26),$M$290,#N/A)</f>
        <v>#N/A</v>
      </c>
      <c r="Q290" t="e">
        <f>IF(OR(AND($M$290&lt;$N$23,$M$290&gt;=$N$24),AND($M$290&gt;$N$25,$M$290&lt;=$N$26)),$M$290,#N/A)</f>
        <v>#N/A</v>
      </c>
      <c r="R290">
        <f>IF(OR(AND($M$290&lt;$N$20,$M$290&gt;=$N$23),AND($M$290&gt;$N$22,$M$290&lt;=$N$25)),$M$290,"")</f>
      </c>
    </row>
    <row r="291" spans="1:18" ht="12.75">
      <c r="A291">
        <f>IF(ISBLANK(data!I93),"",data!I93)</f>
        <v>0.05623279965410548</v>
      </c>
      <c r="C291">
        <v>2.5</v>
      </c>
      <c r="D291" t="e">
        <f>IF(OR($A$291&lt;$B$24,$A$291&gt;$B$26),$A$291,#N/A)</f>
        <v>#N/A</v>
      </c>
      <c r="E291" t="e">
        <f>IF(OR(AND($A$291&lt;$B$23,$A$291&gt;=$B$24),AND($A$291&gt;$B$25,$A$291&lt;=$B$26)),$A$291,#N/A)</f>
        <v>#N/A</v>
      </c>
      <c r="F291">
        <f>IF(OR(AND($A$291&lt;$B$20,$A$291&gt;=$B$23),AND($A$291&gt;$B$22,$A$291&lt;=$B$25)),$A$291,"")</f>
        <v>0.05623279965410548</v>
      </c>
      <c r="M291">
        <f>IF(ISBLANK(data!I93),"",data!I93)</f>
        <v>0.05623279965410548</v>
      </c>
      <c r="O291">
        <v>2.5</v>
      </c>
      <c r="P291" t="e">
        <f>IF(OR($M$291&lt;$N$24,$M$291&gt;$N$26),$M$291,#N/A)</f>
        <v>#N/A</v>
      </c>
      <c r="Q291" t="e">
        <f>IF(OR(AND($M$291&lt;$N$23,$M$291&gt;=$N$24),AND($M$291&gt;$N$25,$M$291&lt;=$N$26)),$M$291,#N/A)</f>
        <v>#N/A</v>
      </c>
      <c r="R291">
        <f>IF(OR(AND($M$291&lt;$N$20,$M$291&gt;=$N$23),AND($M$291&gt;$N$22,$M$291&lt;=$N$25)),$M$291,"")</f>
        <v>0.05623279965410548</v>
      </c>
    </row>
    <row r="292" spans="1:18" ht="12.75">
      <c r="A292">
        <f>IF(ISBLANK(data!I94),"",data!I94)</f>
        <v>-0.052244822952783904</v>
      </c>
      <c r="C292">
        <v>2.5</v>
      </c>
      <c r="D292" t="e">
        <f>IF(OR($A$292&lt;$B$24,$A$292&gt;$B$26),$A$292,#N/A)</f>
        <v>#N/A</v>
      </c>
      <c r="E292" t="e">
        <f>IF(OR(AND($A$292&lt;$B$23,$A$292&gt;=$B$24),AND($A$292&gt;$B$25,$A$292&lt;=$B$26)),$A$292,#N/A)</f>
        <v>#N/A</v>
      </c>
      <c r="F292">
        <f>IF(OR(AND($A$292&lt;$B$20,$A$292&gt;=$B$23),AND($A$292&gt;$B$22,$A$292&lt;=$B$25)),$A$292,"")</f>
        <v>-0.052244822952783904</v>
      </c>
      <c r="M292">
        <f>IF(ISBLANK(data!I94),"",data!I94)</f>
        <v>-0.052244822952783904</v>
      </c>
      <c r="O292">
        <v>2.5</v>
      </c>
      <c r="P292" t="e">
        <f>IF(OR($M$292&lt;$N$24,$M$292&gt;$N$26),$M$292,#N/A)</f>
        <v>#N/A</v>
      </c>
      <c r="Q292" t="e">
        <f>IF(OR(AND($M$292&lt;$N$23,$M$292&gt;=$N$24),AND($M$292&gt;$N$25,$M$292&lt;=$N$26)),$M$292,#N/A)</f>
        <v>#N/A</v>
      </c>
      <c r="R292">
        <f>IF(OR(AND($M$292&lt;$N$20,$M$292&gt;=$N$23),AND($M$292&gt;$N$22,$M$292&lt;=$N$25)),$M$292,"")</f>
        <v>-0.052244822952783904</v>
      </c>
    </row>
    <row r="293" spans="1:18" ht="12.75">
      <c r="A293">
        <f>IF(ISBLANK(data!I95),"",data!I95)</f>
        <v>-0.02031306261044836</v>
      </c>
      <c r="C293">
        <v>2.5</v>
      </c>
      <c r="D293" t="e">
        <f>IF(OR($A$293&lt;$B$24,$A$293&gt;$B$26),$A$293,#N/A)</f>
        <v>#N/A</v>
      </c>
      <c r="E293" t="e">
        <f>IF(OR(AND($A$293&lt;$B$23,$A$293&gt;=$B$24),AND($A$293&gt;$B$25,$A$293&lt;=$B$26)),$A$293,#N/A)</f>
        <v>#N/A</v>
      </c>
      <c r="F293">
        <f>IF(OR(AND($A$293&lt;$B$20,$A$293&gt;=$B$23),AND($A$293&gt;$B$22,$A$293&lt;=$B$25)),$A$293,"")</f>
        <v>-0.02031306261044836</v>
      </c>
      <c r="M293">
        <f>IF(ISBLANK(data!I95),"",data!I95)</f>
        <v>-0.02031306261044836</v>
      </c>
      <c r="O293">
        <v>2.5</v>
      </c>
      <c r="P293" t="e">
        <f>IF(OR($M$293&lt;$N$24,$M$293&gt;$N$26),$M$293,#N/A)</f>
        <v>#N/A</v>
      </c>
      <c r="Q293" t="e">
        <f>IF(OR(AND($M$293&lt;$N$23,$M$293&gt;=$N$24),AND($M$293&gt;$N$25,$M$293&lt;=$N$26)),$M$293,#N/A)</f>
        <v>#N/A</v>
      </c>
      <c r="R293">
        <f>IF(OR(AND($M$293&lt;$N$20,$M$293&gt;=$N$23),AND($M$293&gt;$N$22,$M$293&lt;=$N$25)),$M$293,"")</f>
        <v>-0.02031306261044836</v>
      </c>
    </row>
    <row r="294" spans="1:18" ht="12.75">
      <c r="A294">
        <f>IF(ISBLANK(data!I96),"",data!I96)</f>
        <v>0.09232381212222356</v>
      </c>
      <c r="C294">
        <v>2.5</v>
      </c>
      <c r="D294" t="e">
        <f>IF(OR($A$294&lt;$B$24,$A$294&gt;$B$26),$A$294,#N/A)</f>
        <v>#N/A</v>
      </c>
      <c r="E294" t="e">
        <f>IF(OR(AND($A$294&lt;$B$23,$A$294&gt;=$B$24),AND($A$294&gt;$B$25,$A$294&lt;=$B$26)),$A$294,#N/A)</f>
        <v>#N/A</v>
      </c>
      <c r="F294">
        <f>IF(OR(AND($A$294&lt;$B$20,$A$294&gt;=$B$23),AND($A$294&gt;$B$22,$A$294&lt;=$B$25)),$A$294,"")</f>
        <v>0.09232381212222356</v>
      </c>
      <c r="M294">
        <f>IF(ISBLANK(data!I96),"",data!I96)</f>
        <v>0.09232381212222356</v>
      </c>
      <c r="O294">
        <v>2.5</v>
      </c>
      <c r="P294" t="e">
        <f>IF(OR($M$294&lt;$N$24,$M$294&gt;$N$26),$M$294,#N/A)</f>
        <v>#N/A</v>
      </c>
      <c r="Q294" t="e">
        <f>IF(OR(AND($M$294&lt;$N$23,$M$294&gt;=$N$24),AND($M$294&gt;$N$25,$M$294&lt;=$N$26)),$M$294,#N/A)</f>
        <v>#N/A</v>
      </c>
      <c r="R294">
        <f>IF(OR(AND($M$294&lt;$N$20,$M$294&gt;=$N$23),AND($M$294&gt;$N$22,$M$294&lt;=$N$25)),$M$294,"")</f>
        <v>0.09232381212222356</v>
      </c>
    </row>
    <row r="295" spans="1:18" ht="12.75">
      <c r="A295">
        <f>IF(ISBLANK(data!I97),"",data!I97)</f>
        <v>-0.03127997725807787</v>
      </c>
      <c r="C295">
        <v>2.5</v>
      </c>
      <c r="D295" t="e">
        <f>IF(OR($A$295&lt;$B$24,$A$295&gt;$B$26),$A$295,#N/A)</f>
        <v>#N/A</v>
      </c>
      <c r="E295" t="e">
        <f>IF(OR(AND($A$295&lt;$B$23,$A$295&gt;=$B$24),AND($A$295&gt;$B$25,$A$295&lt;=$B$26)),$A$295,#N/A)</f>
        <v>#N/A</v>
      </c>
      <c r="F295">
        <f>IF(OR(AND($A$295&lt;$B$20,$A$295&gt;=$B$23),AND($A$295&gt;$B$22,$A$295&lt;=$B$25)),$A$295,"")</f>
        <v>-0.03127997725807787</v>
      </c>
      <c r="M295">
        <f>IF(ISBLANK(data!I97),"",data!I97)</f>
        <v>-0.03127997725807787</v>
      </c>
      <c r="O295">
        <v>2.5</v>
      </c>
      <c r="P295" t="e">
        <f>IF(OR($M$295&lt;$N$24,$M$295&gt;$N$26),$M$295,#N/A)</f>
        <v>#N/A</v>
      </c>
      <c r="Q295" t="e">
        <f>IF(OR(AND($M$295&lt;$N$23,$M$295&gt;=$N$24),AND($M$295&gt;$N$25,$M$295&lt;=$N$26)),$M$295,#N/A)</f>
        <v>#N/A</v>
      </c>
      <c r="R295">
        <f>IF(OR(AND($M$295&lt;$N$20,$M$295&gt;=$N$23),AND($M$295&gt;$N$22,$M$295&lt;=$N$25)),$M$295,"")</f>
        <v>-0.03127997725807787</v>
      </c>
    </row>
    <row r="296" spans="1:18" ht="12.75">
      <c r="A296">
        <f>IF(ISBLANK(data!I98),"",data!I98)</f>
        <v>-0.022158698229963615</v>
      </c>
      <c r="C296">
        <v>2.5</v>
      </c>
      <c r="D296" t="e">
        <f>IF(OR($A$296&lt;$B$24,$A$296&gt;$B$26),$A$296,#N/A)</f>
        <v>#N/A</v>
      </c>
      <c r="E296" t="e">
        <f>IF(OR(AND($A$296&lt;$B$23,$A$296&gt;=$B$24),AND($A$296&gt;$B$25,$A$296&lt;=$B$26)),$A$296,#N/A)</f>
        <v>#N/A</v>
      </c>
      <c r="F296">
        <f>IF(OR(AND($A$296&lt;$B$20,$A$296&gt;=$B$23),AND($A$296&gt;$B$22,$A$296&lt;=$B$25)),$A$296,"")</f>
        <v>-0.022158698229963615</v>
      </c>
      <c r="M296">
        <f>IF(ISBLANK(data!I98),"",data!I98)</f>
        <v>-0.022158698229963615</v>
      </c>
      <c r="O296">
        <v>2.5</v>
      </c>
      <c r="P296" t="e">
        <f>IF(OR($M$296&lt;$N$24,$M$296&gt;$N$26),$M$296,#N/A)</f>
        <v>#N/A</v>
      </c>
      <c r="Q296" t="e">
        <f>IF(OR(AND($M$296&lt;$N$23,$M$296&gt;=$N$24),AND($M$296&gt;$N$25,$M$296&lt;=$N$26)),$M$296,#N/A)</f>
        <v>#N/A</v>
      </c>
      <c r="R296">
        <f>IF(OR(AND($M$296&lt;$N$20,$M$296&gt;=$N$23),AND($M$296&gt;$N$22,$M$296&lt;=$N$25)),$M$296,"")</f>
        <v>-0.022158698229963615</v>
      </c>
    </row>
    <row r="297" spans="1:18" ht="12.75">
      <c r="A297">
        <f>IF(ISBLANK(data!I99),"",data!I99)</f>
        <v>0.02365163115673065</v>
      </c>
      <c r="C297">
        <v>2.5</v>
      </c>
      <c r="D297" t="e">
        <f>IF(OR($A$297&lt;$B$24,$A$297&gt;$B$26),$A$297,#N/A)</f>
        <v>#N/A</v>
      </c>
      <c r="E297" t="e">
        <f>IF(OR(AND($A$297&lt;$B$23,$A$297&gt;=$B$24),AND($A$297&gt;$B$25,$A$297&lt;=$B$26)),$A$297,#N/A)</f>
        <v>#N/A</v>
      </c>
      <c r="F297">
        <f>IF(OR(AND($A$297&lt;$B$20,$A$297&gt;=$B$23),AND($A$297&gt;$B$22,$A$297&lt;=$B$25)),$A$297,"")</f>
      </c>
      <c r="M297">
        <f>IF(ISBLANK(data!I99),"",data!I99)</f>
        <v>0.02365163115673065</v>
      </c>
      <c r="O297">
        <v>2.5</v>
      </c>
      <c r="P297" t="e">
        <f>IF(OR($M$297&lt;$N$24,$M$297&gt;$N$26),$M$297,#N/A)</f>
        <v>#N/A</v>
      </c>
      <c r="Q297" t="e">
        <f>IF(OR(AND($M$297&lt;$N$23,$M$297&gt;=$N$24),AND($M$297&gt;$N$25,$M$297&lt;=$N$26)),$M$297,#N/A)</f>
        <v>#N/A</v>
      </c>
      <c r="R297">
        <f>IF(OR(AND($M$297&lt;$N$20,$M$297&gt;=$N$23),AND($M$297&gt;$N$22,$M$297&lt;=$N$25)),$M$297,"")</f>
      </c>
    </row>
    <row r="298" spans="1:18" ht="12.75">
      <c r="A298">
        <f>IF(ISBLANK(data!I100),"",data!I100)</f>
        <v>-0.01647625326436223</v>
      </c>
      <c r="C298">
        <v>2.5</v>
      </c>
      <c r="D298" t="e">
        <f>IF(OR($A$298&lt;$B$24,$A$298&gt;$B$26),$A$298,#N/A)</f>
        <v>#N/A</v>
      </c>
      <c r="E298" t="e">
        <f>IF(OR(AND($A$298&lt;$B$23,$A$298&gt;=$B$24),AND($A$298&gt;$B$25,$A$298&lt;=$B$26)),$A$298,#N/A)</f>
        <v>#N/A</v>
      </c>
      <c r="F298">
        <f>IF(OR(AND($A$298&lt;$B$20,$A$298&gt;=$B$23),AND($A$298&gt;$B$22,$A$298&lt;=$B$25)),$A$298,"")</f>
        <v>-0.01647625326436223</v>
      </c>
      <c r="M298">
        <f>IF(ISBLANK(data!I100),"",data!I100)</f>
        <v>-0.01647625326436223</v>
      </c>
      <c r="O298">
        <v>2.5</v>
      </c>
      <c r="P298" t="e">
        <f>IF(OR($M$298&lt;$N$24,$M$298&gt;$N$26),$M$298,#N/A)</f>
        <v>#N/A</v>
      </c>
      <c r="Q298" t="e">
        <f>IF(OR(AND($M$298&lt;$N$23,$M$298&gt;=$N$24),AND($M$298&gt;$N$25,$M$298&lt;=$N$26)),$M$298,#N/A)</f>
        <v>#N/A</v>
      </c>
      <c r="R298">
        <f>IF(OR(AND($M$298&lt;$N$20,$M$298&gt;=$N$23),AND($M$298&gt;$N$22,$M$298&lt;=$N$25)),$M$298,"")</f>
        <v>-0.01647625326436223</v>
      </c>
    </row>
    <row r="299" spans="1:18" ht="12.75">
      <c r="A299">
        <f>IF(ISBLANK(data!I101),"",data!I101)</f>
        <v>0.05892815758821184</v>
      </c>
      <c r="C299">
        <v>2.5</v>
      </c>
      <c r="D299" t="e">
        <f>IF(OR($A$299&lt;$B$24,$A$299&gt;$B$26),$A$299,#N/A)</f>
        <v>#N/A</v>
      </c>
      <c r="E299" t="e">
        <f>IF(OR(AND($A$299&lt;$B$23,$A$299&gt;=$B$24),AND($A$299&gt;$B$25,$A$299&lt;=$B$26)),$A$299,#N/A)</f>
        <v>#N/A</v>
      </c>
      <c r="F299">
        <f>IF(OR(AND($A$299&lt;$B$20,$A$299&gt;=$B$23),AND($A$299&gt;$B$22,$A$299&lt;=$B$25)),$A$299,"")</f>
        <v>0.05892815758821184</v>
      </c>
      <c r="M299">
        <f>IF(ISBLANK(data!I101),"",data!I101)</f>
        <v>0.05892815758821184</v>
      </c>
      <c r="O299">
        <v>2.5</v>
      </c>
      <c r="P299" t="e">
        <f>IF(OR($M$299&lt;$N$24,$M$299&gt;$N$26),$M$299,#N/A)</f>
        <v>#N/A</v>
      </c>
      <c r="Q299" t="e">
        <f>IF(OR(AND($M$299&lt;$N$23,$M$299&gt;=$N$24),AND($M$299&gt;$N$25,$M$299&lt;=$N$26)),$M$299,#N/A)</f>
        <v>#N/A</v>
      </c>
      <c r="R299">
        <f>IF(OR(AND($M$299&lt;$N$20,$M$299&gt;=$N$23),AND($M$299&gt;$N$22,$M$299&lt;=$N$25)),$M$299,"")</f>
        <v>0.05892815758821184</v>
      </c>
    </row>
    <row r="300" spans="1:18" ht="12.75">
      <c r="A300">
        <f>IF(ISBLANK(data!I102),"",data!I102)</f>
        <v>-0.054966292284748544</v>
      </c>
      <c r="C300">
        <v>2.5</v>
      </c>
      <c r="D300" t="e">
        <f>IF(OR($A$300&lt;$B$24,$A$300&gt;$B$26),$A$300,#N/A)</f>
        <v>#N/A</v>
      </c>
      <c r="E300" t="e">
        <f>IF(OR(AND($A$300&lt;$B$23,$A$300&gt;=$B$24),AND($A$300&gt;$B$25,$A$300&lt;=$B$26)),$A$300,#N/A)</f>
        <v>#N/A</v>
      </c>
      <c r="F300">
        <f>IF(OR(AND($A$300&lt;$B$20,$A$300&gt;=$B$23),AND($A$300&gt;$B$22,$A$300&lt;=$B$25)),$A$300,"")</f>
        <v>-0.054966292284748544</v>
      </c>
      <c r="M300">
        <f>IF(ISBLANK(data!I102),"",data!I102)</f>
        <v>-0.054966292284748544</v>
      </c>
      <c r="O300">
        <v>2.5</v>
      </c>
      <c r="P300" t="e">
        <f>IF(OR($M$300&lt;$N$24,$M$300&gt;$N$26),$M$300,#N/A)</f>
        <v>#N/A</v>
      </c>
      <c r="Q300" t="e">
        <f>IF(OR(AND($M$300&lt;$N$23,$M$300&gt;=$N$24),AND($M$300&gt;$N$25,$M$300&lt;=$N$26)),$M$300,#N/A)</f>
        <v>#N/A</v>
      </c>
      <c r="R300">
        <f>IF(OR(AND($M$300&lt;$N$20,$M$300&gt;=$N$23),AND($M$300&gt;$N$22,$M$300&lt;=$N$25)),$M$300,"")</f>
        <v>-0.054966292284748544</v>
      </c>
    </row>
    <row r="301" spans="1:18" ht="12.75">
      <c r="A301">
        <f>IF(ISBLANK(data!I103),"",data!I103)</f>
        <v>-0.004961784973662941</v>
      </c>
      <c r="C301">
        <v>2.5</v>
      </c>
      <c r="D301" t="e">
        <f>IF(OR($A$301&lt;$B$24,$A$301&gt;$B$26),$A$301,#N/A)</f>
        <v>#N/A</v>
      </c>
      <c r="E301" t="e">
        <f>IF(OR(AND($A$301&lt;$B$23,$A$301&gt;=$B$24),AND($A$301&gt;$B$25,$A$301&lt;=$B$26)),$A$301,#N/A)</f>
        <v>#N/A</v>
      </c>
      <c r="F301">
        <f>IF(OR(AND($A$301&lt;$B$20,$A$301&gt;=$B$23),AND($A$301&gt;$B$22,$A$301&lt;=$B$25)),$A$301,"")</f>
      </c>
      <c r="M301">
        <f>IF(ISBLANK(data!I103),"",data!I103)</f>
        <v>-0.004961784973662941</v>
      </c>
      <c r="O301">
        <v>2.5</v>
      </c>
      <c r="P301" t="e">
        <f>IF(OR($M$301&lt;$N$24,$M$301&gt;$N$26),$M$301,#N/A)</f>
        <v>#N/A</v>
      </c>
      <c r="Q301" t="e">
        <f>IF(OR(AND($M$301&lt;$N$23,$M$301&gt;=$N$24),AND($M$301&gt;$N$25,$M$301&lt;=$N$26)),$M$301,#N/A)</f>
        <v>#N/A</v>
      </c>
      <c r="R301">
        <f>IF(OR(AND($M$301&lt;$N$20,$M$301&gt;=$N$23),AND($M$301&gt;$N$22,$M$301&lt;=$N$25)),$M$301,"")</f>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K27"/>
  <sheetViews>
    <sheetView workbookViewId="0" topLeftCell="A1">
      <selection activeCell="A1" sqref="A1"/>
    </sheetView>
  </sheetViews>
  <sheetFormatPr defaultColWidth="9.140625" defaultRowHeight="12.75"/>
  <cols>
    <col min="29" max="29" width="10.140625" style="0" bestFit="1" customWidth="1"/>
  </cols>
  <sheetData>
    <row r="1" spans="1:61" ht="12.75">
      <c r="A1" t="s">
        <v>8</v>
      </c>
      <c r="D1" t="s">
        <v>10</v>
      </c>
      <c r="G1" t="s">
        <v>11</v>
      </c>
      <c r="J1" t="s">
        <v>12</v>
      </c>
      <c r="M1" t="s">
        <v>13</v>
      </c>
      <c r="P1" t="s">
        <v>14</v>
      </c>
      <c r="S1" t="s">
        <v>15</v>
      </c>
      <c r="V1" t="s">
        <v>16</v>
      </c>
      <c r="Y1" t="s">
        <v>17</v>
      </c>
      <c r="AB1" t="s">
        <v>19</v>
      </c>
      <c r="AE1" t="s">
        <v>24</v>
      </c>
      <c r="AH1" t="s">
        <v>25</v>
      </c>
      <c r="AK1" t="s">
        <v>26</v>
      </c>
      <c r="AN1" t="s">
        <v>27</v>
      </c>
      <c r="AQ1" t="s">
        <v>28</v>
      </c>
      <c r="AT1" t="s">
        <v>29</v>
      </c>
      <c r="AW1" t="s">
        <v>30</v>
      </c>
      <c r="AZ1" t="s">
        <v>31</v>
      </c>
      <c r="BC1" t="s">
        <v>32</v>
      </c>
      <c r="BF1" t="s">
        <v>33</v>
      </c>
      <c r="BI1" t="s">
        <v>35</v>
      </c>
    </row>
    <row r="2" spans="1:63" ht="12.75">
      <c r="A2">
        <f>MIN(rsbux)</f>
        <v>-0.47970108026206104</v>
      </c>
      <c r="B2" t="s">
        <v>9</v>
      </c>
      <c r="C2" t="s">
        <v>4</v>
      </c>
      <c r="D2">
        <f>MIN(rsbux)</f>
        <v>-0.47970108026206104</v>
      </c>
      <c r="E2" t="s">
        <v>9</v>
      </c>
      <c r="F2" t="s">
        <v>4</v>
      </c>
      <c r="G2">
        <f>MIN(rsbux)</f>
        <v>-0.47970108026206104</v>
      </c>
      <c r="H2" t="s">
        <v>9</v>
      </c>
      <c r="I2" t="s">
        <v>4</v>
      </c>
      <c r="J2">
        <f>MIN(rmsft)</f>
        <v>-0.42087738710305117</v>
      </c>
      <c r="K2" t="s">
        <v>9</v>
      </c>
      <c r="L2" t="s">
        <v>5</v>
      </c>
      <c r="M2">
        <f>MIN(rsbux)</f>
        <v>-0.47970108026206104</v>
      </c>
      <c r="N2" t="s">
        <v>9</v>
      </c>
      <c r="O2" t="s">
        <v>4</v>
      </c>
      <c r="P2">
        <f>MIN(rsp500)</f>
        <v>-0.15758607007429418</v>
      </c>
      <c r="Q2" t="s">
        <v>9</v>
      </c>
      <c r="R2" t="s">
        <v>6</v>
      </c>
      <c r="S2">
        <f>MIN(rmsft)</f>
        <v>-0.42087738710305117</v>
      </c>
      <c r="T2" t="s">
        <v>9</v>
      </c>
      <c r="U2" t="s">
        <v>5</v>
      </c>
      <c r="V2">
        <f>MIN(rsbux)</f>
        <v>-0.47970108026206104</v>
      </c>
      <c r="W2" t="s">
        <v>9</v>
      </c>
      <c r="X2" t="s">
        <v>4</v>
      </c>
      <c r="Y2">
        <f>MIN(rsp500)</f>
        <v>-0.15758607007429418</v>
      </c>
      <c r="Z2" t="s">
        <v>9</v>
      </c>
      <c r="AA2" t="s">
        <v>6</v>
      </c>
      <c r="AB2">
        <f>MIN(data!AB3:AB102)</f>
        <v>0</v>
      </c>
      <c r="AC2" t="s">
        <v>9</v>
      </c>
      <c r="AD2" t="s">
        <v>20</v>
      </c>
      <c r="AE2">
        <f>MIN(rmsft)</f>
        <v>-0.42087738710305117</v>
      </c>
      <c r="AF2" t="s">
        <v>9</v>
      </c>
      <c r="AG2" t="s">
        <v>5</v>
      </c>
      <c r="AH2">
        <f>MIN(rmsft)</f>
        <v>-0.42087738710305117</v>
      </c>
      <c r="AI2" t="s">
        <v>9</v>
      </c>
      <c r="AJ2" t="s">
        <v>5</v>
      </c>
      <c r="AK2">
        <f>MIN(rmsft)</f>
        <v>-0.42087738710305117</v>
      </c>
      <c r="AL2" t="s">
        <v>9</v>
      </c>
      <c r="AM2" t="s">
        <v>5</v>
      </c>
      <c r="AN2">
        <f>MIN(rsbux)</f>
        <v>-0.47970108026206104</v>
      </c>
      <c r="AO2" t="s">
        <v>9</v>
      </c>
      <c r="AP2" t="s">
        <v>4</v>
      </c>
      <c r="AQ2">
        <f>MIN(rsp500)</f>
        <v>-0.15758607007429418</v>
      </c>
      <c r="AR2" t="s">
        <v>9</v>
      </c>
      <c r="AS2" t="s">
        <v>6</v>
      </c>
      <c r="AT2">
        <f>MIN(tbill)</f>
        <v>0.002406579962531351</v>
      </c>
      <c r="AU2" t="s">
        <v>9</v>
      </c>
      <c r="AV2" t="s">
        <v>21</v>
      </c>
      <c r="AW2">
        <f>MIN(rmsft)</f>
        <v>-0.42087738710305117</v>
      </c>
      <c r="AX2" t="s">
        <v>9</v>
      </c>
      <c r="AY2" t="s">
        <v>5</v>
      </c>
      <c r="AZ2">
        <f>MIN(rsbux)</f>
        <v>-0.47970108026206104</v>
      </c>
      <c r="BA2" t="s">
        <v>9</v>
      </c>
      <c r="BB2" t="s">
        <v>4</v>
      </c>
      <c r="BC2">
        <f>MIN(rsp500)</f>
        <v>-0.15758607007429418</v>
      </c>
      <c r="BD2" t="s">
        <v>9</v>
      </c>
      <c r="BE2" t="s">
        <v>6</v>
      </c>
      <c r="BF2">
        <f>MIN(tbill)</f>
        <v>0.002406579962531351</v>
      </c>
      <c r="BG2" t="s">
        <v>9</v>
      </c>
      <c r="BH2" t="s">
        <v>21</v>
      </c>
      <c r="BI2">
        <f>MIN(rmsft)</f>
        <v>-0.42087738710305117</v>
      </c>
      <c r="BJ2" t="s">
        <v>9</v>
      </c>
      <c r="BK2" t="s">
        <v>5</v>
      </c>
    </row>
    <row r="3" spans="1:63" ht="12.75">
      <c r="A3">
        <f>MAX(rsbux)</f>
        <v>0.27966705915226586</v>
      </c>
      <c r="B3" s="1">
        <f>$A$2+(2*1-1)/(2*15)*$A$4</f>
        <v>-0.4543888089482501</v>
      </c>
      <c r="C3" s="2">
        <f>[1]!COUNTBETW(rsbux,$A$2,($B$3+$B$4)/2,2)</f>
        <v>1</v>
      </c>
      <c r="D3">
        <f>MAX(rsbux)</f>
        <v>0.27966705915226586</v>
      </c>
      <c r="E3" s="1">
        <f>$D$2+(2*1-1)/(2*25)*$D$4</f>
        <v>-0.4645137174737745</v>
      </c>
      <c r="F3" s="2">
        <f>[1]!COUNTBETW(rsbux,$D$2,($E$3+$E$4)/2,2)</f>
        <v>1</v>
      </c>
      <c r="G3">
        <f>MAX(rsbux)</f>
        <v>0.27966705915226586</v>
      </c>
      <c r="H3" s="1">
        <f>$G$2+(2*1-1)/(2*5)*$G$4</f>
        <v>-0.40376426632062834</v>
      </c>
      <c r="I3" s="2">
        <f>[1]!COUNTBETW(rsbux,$G$2,($H$3+$H$4)/2,2)</f>
        <v>2</v>
      </c>
      <c r="J3">
        <f>MAX(rmsft)</f>
        <v>0.281527116216784</v>
      </c>
      <c r="K3" s="1">
        <v>-0.45432680704609957</v>
      </c>
      <c r="L3" s="2">
        <f>[1]!COUNTBETW(rmsft,$J$2,($K$3+$K$4)/2,2)</f>
        <v>0</v>
      </c>
      <c r="M3">
        <f>MAX(rsbux)</f>
        <v>0.27966705915226586</v>
      </c>
      <c r="N3" s="1">
        <v>-0.45432680704609957</v>
      </c>
      <c r="O3" s="2">
        <f>[1]!COUNTBETW(rsbux,$M$2,($N$3+$N$4)/2,2)</f>
        <v>1</v>
      </c>
      <c r="P3">
        <f>MAX(rsp500)</f>
        <v>0.09232381212222356</v>
      </c>
      <c r="Q3" s="1">
        <v>-0.45432680704609957</v>
      </c>
      <c r="R3" s="2">
        <f>[1]!COUNTBETW(rsp500,$P$2,($Q$3+$Q$4)/2,2)</f>
        <v>0</v>
      </c>
      <c r="S3">
        <f>MAX(rmsft)</f>
        <v>0.281527116216784</v>
      </c>
      <c r="T3" s="1">
        <v>-0.45432680704609957</v>
      </c>
      <c r="U3" s="2">
        <f>[1]!COUNTBETW(rmsft,$S$2,($T$3+$T$4)/2,2)</f>
        <v>0</v>
      </c>
      <c r="V3">
        <f>MAX(rsbux)</f>
        <v>0.27966705915226586</v>
      </c>
      <c r="W3" s="1">
        <v>-0.45432680704609957</v>
      </c>
      <c r="X3" s="2">
        <f>[1]!COUNTBETW(rsbux,$V$2,($W$3+$W$4)/2,2)</f>
        <v>1</v>
      </c>
      <c r="Y3">
        <f>MAX(rsp500)</f>
        <v>0.09232381212222356</v>
      </c>
      <c r="Z3" s="1">
        <v>-0.45432680704609957</v>
      </c>
      <c r="AA3" s="2">
        <f>[1]!COUNTBETW(rsp500,$Y$2,($Z$3+$Z$4)/2,2)</f>
        <v>0</v>
      </c>
      <c r="AB3">
        <f>MAX(data!AB3:AB102)</f>
        <v>0</v>
      </c>
      <c r="AC3" s="3">
        <f>$AB$2+(2*1-1)/(2*15)*$AB$4</f>
        <v>0</v>
      </c>
      <c r="AD3" s="4" t="e">
        <f>[1]!COUNTBETW(data!AB3:AB102,$AB$2,($AC$3+$AC$4)/2,2)/$AB$7</f>
        <v>#DIV/0!</v>
      </c>
      <c r="AE3">
        <f>MAX(rmsft)</f>
        <v>0.281527116216784</v>
      </c>
      <c r="AF3" s="1">
        <f>$AE$2+(1-1)/15*$AE$4</f>
        <v>-0.42087738710305117</v>
      </c>
      <c r="AG3" s="4">
        <f>[1]!COUNTBETW(rmsft,$AF$3,$AF$4,2)/$AE$7</f>
        <v>0.01</v>
      </c>
      <c r="AH3">
        <f>MAX(rmsft)</f>
        <v>0.281527116216784</v>
      </c>
      <c r="AI3" s="1">
        <f>$AH$2+(2*1-1)/(2*15)*$AH$4</f>
        <v>-0.39746390365905665</v>
      </c>
      <c r="AJ3" s="2">
        <f>[1]!COUNTBETW(rmsft,$AH$2,($AI$3+$AI$4)/2,2)</f>
        <v>1</v>
      </c>
      <c r="AK3">
        <f>MAX(rmsft)</f>
        <v>0.281527116216784</v>
      </c>
      <c r="AL3" s="1">
        <f>$AK$2+1/15*$AK$4</f>
        <v>-0.3740504202150622</v>
      </c>
      <c r="AM3" s="2">
        <f>[1]!COUNTBETW(rmsft,$AK$2,$AL$3,4)</f>
        <v>1</v>
      </c>
      <c r="AN3">
        <f>MAX(rsbux)</f>
        <v>0.27966705915226586</v>
      </c>
      <c r="AO3" s="1">
        <f>$AN$2+(2*1-1)/(2*15)*$AN$4</f>
        <v>-0.4543888089482501</v>
      </c>
      <c r="AP3" s="4">
        <f>[1]!COUNTBETW(rsbux,$AN$2,($AO$3+$AO$4)/2,2)/$AN$7</f>
        <v>0.01</v>
      </c>
      <c r="AQ3">
        <f>MAX(rsp500)</f>
        <v>0.09232381212222356</v>
      </c>
      <c r="AR3" s="1">
        <f>$AQ$2+(2*1-1)/(2*15)*$AQ$4</f>
        <v>-0.14925574066774358</v>
      </c>
      <c r="AS3" s="4">
        <f>[1]!COUNTBETW(rsp500,$AQ$2,($AR$3+$AR$4)/2,2)/$AQ$7</f>
        <v>0.01</v>
      </c>
      <c r="AT3">
        <f>MAX(tbill)</f>
        <v>0.005083418463116508</v>
      </c>
      <c r="AU3" s="1">
        <f>$AT$2+(2*1-1)/(2*15)*$AT$4</f>
        <v>0.002495807912550856</v>
      </c>
      <c r="AV3" s="4">
        <f>[1]!COUNTBETW(tbill,$AT$2,($AU$3+$AU$4)/2,2)/$AT$7</f>
        <v>0.14</v>
      </c>
      <c r="AW3">
        <f>MAX(rmsft)</f>
        <v>0.281527116216784</v>
      </c>
      <c r="AX3" s="1">
        <v>-0.45432680704609957</v>
      </c>
      <c r="AY3" s="13">
        <f>[1]!COUNTBETW(rmsft,$AW$2,($AX$3+$AX$4)/2,2)/$AW$7</f>
        <v>0</v>
      </c>
      <c r="AZ3">
        <f>MAX(rsbux)</f>
        <v>0.27966705915226586</v>
      </c>
      <c r="BA3" s="1">
        <v>-0.45432680704609957</v>
      </c>
      <c r="BB3" s="13">
        <f>[1]!COUNTBETW(rsbux,$AZ$2,($BA$3+$BA$4)/2,2)/$AZ$7</f>
        <v>0.01</v>
      </c>
      <c r="BC3">
        <f>MAX(rsp500)</f>
        <v>0.09232381212222356</v>
      </c>
      <c r="BD3" s="1">
        <v>-0.45432680704609957</v>
      </c>
      <c r="BE3" s="13">
        <f>[1]!COUNTBETW(rsp500,$BC$2,($BD$3+$BD$4)/2,2)/$BC$7</f>
        <v>0</v>
      </c>
      <c r="BF3">
        <f>MAX(tbill)</f>
        <v>0.005083418463116508</v>
      </c>
      <c r="BG3" s="1">
        <v>-0.45432680704609957</v>
      </c>
      <c r="BH3" s="13">
        <f>[1]!COUNTBETW(tbill,$BF$2,($BG$3+$BG$4)/2,2)/$BF$7</f>
        <v>0</v>
      </c>
      <c r="BI3">
        <f>MAX(rmsft)</f>
        <v>0.281527116216784</v>
      </c>
      <c r="BJ3" s="1">
        <f>$BI$2+(2*1-1)/(2*15)*$BI$4</f>
        <v>-0.39746390365905665</v>
      </c>
      <c r="BK3" s="4">
        <f>[1]!COUNTBETW(rmsft,$BI$2,($BJ$3+$BJ$4)/2,2)/$BI$7</f>
        <v>0.01</v>
      </c>
    </row>
    <row r="4" spans="1:63" ht="12.75">
      <c r="A4">
        <f>$A$3-$A$2</f>
        <v>0.7593681394143269</v>
      </c>
      <c r="B4" s="1">
        <f>$A$2+(2*2-1)/(2*15)*$A$4</f>
        <v>-0.40376426632062834</v>
      </c>
      <c r="C4" s="2">
        <f>[1]!COUNTBETW(rsbux,($B$4+$B$3)/2,($B$4+$B$5)/2,2)</f>
        <v>1</v>
      </c>
      <c r="D4">
        <f>$D$3-$D$2</f>
        <v>0.7593681394143269</v>
      </c>
      <c r="E4" s="1">
        <f>$D$2+(2*2-1)/(2*25)*$D$4</f>
        <v>-0.4341389918972014</v>
      </c>
      <c r="F4" s="2">
        <f>[1]!COUNTBETW(rsbux,($E$4+$E$3)/2,($E$4+$E$5)/2,2)</f>
        <v>0</v>
      </c>
      <c r="G4">
        <f>$G$3-$G$2</f>
        <v>0.7593681394143269</v>
      </c>
      <c r="H4" s="1">
        <f>$G$2+(2*2-1)/(2*5)*$G$4</f>
        <v>-0.251890638437763</v>
      </c>
      <c r="I4" s="2">
        <f>[1]!COUNTBETW(rsbux,($H$4+$H$3)/2,($H$4+$H$5)/2,2)</f>
        <v>7</v>
      </c>
      <c r="J4">
        <f>$J$3-$J$2</f>
        <v>0.7024045033198352</v>
      </c>
      <c r="K4" s="1">
        <v>-0.40357826061417656</v>
      </c>
      <c r="L4" s="2">
        <f>[1]!COUNTBETW(rmsft,($K$4+$K$3)/2,($K$4+$K$5)/2,2)</f>
        <v>1</v>
      </c>
      <c r="M4">
        <f>$M$3-$M$2</f>
        <v>0.7593681394143269</v>
      </c>
      <c r="N4" s="1">
        <v>-0.40357826061417656</v>
      </c>
      <c r="O4" s="2">
        <f>[1]!COUNTBETW(rsbux,($N$4+$N$3)/2,($N$4+$N$5)/2,2)</f>
        <v>1</v>
      </c>
      <c r="P4">
        <f>$P$3-$P$2</f>
        <v>0.24990988219651772</v>
      </c>
      <c r="Q4" s="1">
        <v>-0.40357826061417656</v>
      </c>
      <c r="R4" s="2">
        <f>[1]!COUNTBETW(rsp500,($Q$4+$Q$3)/2,($Q$4+$Q$5)/2,2)</f>
        <v>0</v>
      </c>
      <c r="S4">
        <f>$S$3-$S$2</f>
        <v>0.7024045033198352</v>
      </c>
      <c r="T4" s="1">
        <v>-0.40357826061417656</v>
      </c>
      <c r="U4" s="2">
        <f>[1]!COUNTBETW(rmsft,($T$4+$T$3)/2,($T$4+$T$5)/2,2)+$U$3</f>
        <v>1</v>
      </c>
      <c r="V4">
        <f>$V$3-$V$2</f>
        <v>0.7593681394143269</v>
      </c>
      <c r="W4" s="1">
        <v>-0.40357826061417656</v>
      </c>
      <c r="X4" s="2">
        <f>[1]!COUNTBETW(rsbux,($W$4+$W$3)/2,($W$4+$W$5)/2,2)+$X$3</f>
        <v>2</v>
      </c>
      <c r="Y4">
        <f>$Y$3-$Y$2</f>
        <v>0.24990988219651772</v>
      </c>
      <c r="Z4" s="1">
        <v>-0.40357826061417656</v>
      </c>
      <c r="AA4" s="2">
        <f>[1]!COUNTBETW(rsp500,($Z$4+$Z$3)/2,($Z$4+$Z$5)/2,2)+$AA$3</f>
        <v>0</v>
      </c>
      <c r="AB4">
        <f>$AB$3-$AB$2</f>
        <v>0</v>
      </c>
      <c r="AC4" s="3">
        <f>$AB$2+(2*2-1)/(2*15)*$AB$4</f>
        <v>0</v>
      </c>
      <c r="AD4" s="4" t="e">
        <f>[1]!COUNTBETW(data!AB3:AB102,($AC$4+$AC$3)/2,($AC$4+$AC$5)/2,2)/$AB$7</f>
        <v>#DIV/0!</v>
      </c>
      <c r="AE4">
        <f>$AE$3-$AE$2</f>
        <v>0.7024045033198352</v>
      </c>
      <c r="AF4" s="1">
        <f>$AE$2+(2-1)/15*$AE$4</f>
        <v>-0.3740504202150622</v>
      </c>
      <c r="AG4" s="4">
        <f>[1]!COUNTBETW(rmsft,$AF$4,$AF$5,2)/$AE$7</f>
        <v>0</v>
      </c>
      <c r="AH4">
        <f>$AH$3-$AH$2</f>
        <v>0.7024045033198352</v>
      </c>
      <c r="AI4" s="1">
        <f>$AH$2+(2*2-1)/(2*15)*$AH$4</f>
        <v>-0.35063693677106766</v>
      </c>
      <c r="AJ4" s="2">
        <f>[1]!COUNTBETW(rmsft,($AI$4+$AI$3)/2,($AI$4+$AI$5)/2,2)</f>
        <v>0</v>
      </c>
      <c r="AK4">
        <f>$AK$3-$AK$2</f>
        <v>0.7024045033198352</v>
      </c>
      <c r="AL4" s="1">
        <f>$AK$2+2/15*$AK$4</f>
        <v>-0.32722345332707314</v>
      </c>
      <c r="AM4" s="2">
        <f>[1]!COUNTBETW(rmsft,$AL$3,$AL$4,3)</f>
        <v>0</v>
      </c>
      <c r="AN4">
        <f>$AN$3-$AN$2</f>
        <v>0.7593681394143269</v>
      </c>
      <c r="AO4" s="1">
        <f>$AN$2+(2*2-1)/(2*15)*$AN$4</f>
        <v>-0.40376426632062834</v>
      </c>
      <c r="AP4" s="4">
        <f>[1]!COUNTBETW(rsbux,($AO$4+$AO$3)/2,($AO$4+$AO$5)/2,2)/$AN$7</f>
        <v>0.01</v>
      </c>
      <c r="AQ4">
        <f>$AQ$3-$AQ$2</f>
        <v>0.24990988219651772</v>
      </c>
      <c r="AR4" s="1">
        <f>$AQ$2+(2*2-1)/(2*15)*$AQ$4</f>
        <v>-0.13259508185464242</v>
      </c>
      <c r="AS4" s="4">
        <f>[1]!COUNTBETW(rsp500,($AR$4+$AR$3)/2,($AR$4+$AR$5)/2,2)/$AQ$7</f>
        <v>0</v>
      </c>
      <c r="AT4">
        <f>$AT$3-$AT$2</f>
        <v>0.002676838500585157</v>
      </c>
      <c r="AU4" s="1">
        <f>$AT$2+(2*2-1)/(2*15)*$AT$4</f>
        <v>0.0026742638125898666</v>
      </c>
      <c r="AV4" s="4">
        <f>[1]!COUNTBETW(tbill,($AU$4+$AU$3)/2,($AU$4+$AU$5)/2,2)/$AT$7</f>
        <v>0.06</v>
      </c>
      <c r="AW4">
        <f>$AW$3-$AW$2</f>
        <v>0.7024045033198352</v>
      </c>
      <c r="AX4" s="1">
        <v>-0.40357826061417656</v>
      </c>
      <c r="AY4" s="13">
        <f>[1]!COUNTBETW(rmsft,($AX$4+$AX$3)/2,($AX$4+$AX$5)/2,2)/$AW$7</f>
        <v>0.01</v>
      </c>
      <c r="AZ4">
        <f>$AZ$3-$AZ$2</f>
        <v>0.7593681394143269</v>
      </c>
      <c r="BA4" s="1">
        <v>-0.40357826061417656</v>
      </c>
      <c r="BB4" s="13">
        <f>[1]!COUNTBETW(rsbux,($BA$4+$BA$3)/2,($BA$4+$BA$5)/2,2)/$AZ$7</f>
        <v>0.01</v>
      </c>
      <c r="BC4">
        <f>$BC$3-$BC$2</f>
        <v>0.24990988219651772</v>
      </c>
      <c r="BD4" s="1">
        <v>-0.40357826061417656</v>
      </c>
      <c r="BE4" s="13">
        <f>[1]!COUNTBETW(rsp500,($BD$4+$BD$3)/2,($BD$4+$BD$5)/2,2)/$BC$7</f>
        <v>0</v>
      </c>
      <c r="BF4">
        <f>$BF$3-$BF$2</f>
        <v>0.002676838500585157</v>
      </c>
      <c r="BG4" s="1">
        <v>-0.40357826061417656</v>
      </c>
      <c r="BH4" s="13">
        <f>[1]!COUNTBETW(tbill,($BG$4+$BG$3)/2,($BG$4+$BG$5)/2,2)/$BF$7</f>
        <v>0</v>
      </c>
      <c r="BI4">
        <f>$BI$3-$BI$2</f>
        <v>0.7024045033198352</v>
      </c>
      <c r="BJ4" s="1">
        <f>$BI$2+(2*2-1)/(2*15)*$BI$4</f>
        <v>-0.35063693677106766</v>
      </c>
      <c r="BK4" s="4">
        <f>[1]!COUNTBETW(rmsft,($BJ$4+$BJ$3)/2,($BJ$4+$BJ$5)/2,2)/$BI$7</f>
        <v>0</v>
      </c>
    </row>
    <row r="5" spans="1:63" ht="12.75">
      <c r="A5">
        <f>AVERAGE(rsbux)</f>
        <v>0.027768113312115004</v>
      </c>
      <c r="B5" s="1">
        <f>$A$2+(2*3-1)/(2*15)*$A$4</f>
        <v>-0.35313972369300656</v>
      </c>
      <c r="C5" s="2">
        <f>[1]!COUNTBETW(rsbux,($B$5+$B$4)/2,($B$5+$B$6)/2,2)</f>
        <v>0</v>
      </c>
      <c r="D5">
        <f>AVERAGE(rsbux)</f>
        <v>0.027768113312115004</v>
      </c>
      <c r="E5" s="1">
        <f>$D$2+(2*3-1)/(2*25)*$D$4</f>
        <v>-0.40376426632062834</v>
      </c>
      <c r="F5" s="2">
        <f>[1]!COUNTBETW(rsbux,($E$5+$E$4)/2,($E$5+$E$6)/2,2)</f>
        <v>1</v>
      </c>
      <c r="G5">
        <f>AVERAGE(rsbux)</f>
        <v>0.027768113312115004</v>
      </c>
      <c r="H5" s="1">
        <f>$G$2+(2*3-1)/(2*5)*$G$4</f>
        <v>-0.10001701055489759</v>
      </c>
      <c r="I5" s="2">
        <f>[1]!COUNTBETW(rsbux,($H$5+$H$4)/2,($H$5+$H$6)/2,2)</f>
        <v>15</v>
      </c>
      <c r="J5">
        <f>AVERAGE(rmsft)</f>
        <v>0.027563867476635005</v>
      </c>
      <c r="K5" s="1">
        <v>-0.3528297141822535</v>
      </c>
      <c r="L5" s="2">
        <f>[1]!COUNTBETW(rmsft,($K$5+$K$4)/2,($K$5+$K$6)/2,2)</f>
        <v>0</v>
      </c>
      <c r="M5">
        <f>AVERAGE(rsbux)</f>
        <v>0.027768113312115004</v>
      </c>
      <c r="N5" s="1">
        <v>-0.3528297141822535</v>
      </c>
      <c r="O5" s="2">
        <f>[1]!COUNTBETW(rsbux,($N$5+$N$4)/2,($N$5+$N$6)/2,2)</f>
        <v>0</v>
      </c>
      <c r="P5">
        <f>AVERAGE(rsp500)</f>
        <v>0.012533998019849396</v>
      </c>
      <c r="Q5" s="1">
        <v>-0.3528297141822535</v>
      </c>
      <c r="R5" s="2">
        <f>[1]!COUNTBETW(rsp500,($Q$5+$Q$4)/2,($Q$5+$Q$6)/2,2)</f>
        <v>0</v>
      </c>
      <c r="S5">
        <f>AVERAGE(rmsft)</f>
        <v>0.027563867476635005</v>
      </c>
      <c r="T5" s="1">
        <v>-0.3528297141822535</v>
      </c>
      <c r="U5" s="2">
        <f>[1]!COUNTBETW(rmsft,($T$5+$T$4)/2,($T$5+$T$6)/2,2)+$U$4</f>
        <v>1</v>
      </c>
      <c r="V5">
        <f>AVERAGE(rsbux)</f>
        <v>0.027768113312115004</v>
      </c>
      <c r="W5" s="1">
        <v>-0.3528297141822535</v>
      </c>
      <c r="X5" s="2">
        <f>[1]!COUNTBETW(rsbux,($W$5+$W$4)/2,($W$5+$W$6)/2,2)+$X$4</f>
        <v>2</v>
      </c>
      <c r="Y5">
        <f>AVERAGE(rsp500)</f>
        <v>0.012533998019849396</v>
      </c>
      <c r="Z5" s="1">
        <v>-0.3528297141822535</v>
      </c>
      <c r="AA5" s="2">
        <f>[1]!COUNTBETW(rsp500,($Z$5+$Z$4)/2,($Z$5+$Z$6)/2,2)+$AA$4</f>
        <v>0</v>
      </c>
      <c r="AB5" t="e">
        <f>AVERAGE(data!AB3:AB102)</f>
        <v>#DIV/0!</v>
      </c>
      <c r="AC5" s="3">
        <f>$AB$2+(2*3-1)/(2*15)*$AB$4</f>
        <v>0</v>
      </c>
      <c r="AD5" s="4" t="e">
        <f>[1]!COUNTBETW(data!AB3:AB102,($AC$5+$AC$4)/2,($AC$5+$AC$6)/2,2)/$AB$7</f>
        <v>#DIV/0!</v>
      </c>
      <c r="AE5">
        <f>AVERAGE(rmsft)</f>
        <v>0.027563867476635005</v>
      </c>
      <c r="AF5" s="1">
        <f>$AE$2+(3-1)/15*$AE$4</f>
        <v>-0.32722345332707314</v>
      </c>
      <c r="AG5" s="4">
        <f>[1]!COUNTBETW(rmsft,$AF$5,$AF$6,2)/$AE$7</f>
        <v>0</v>
      </c>
      <c r="AH5">
        <f>AVERAGE(rmsft)</f>
        <v>0.027563867476635005</v>
      </c>
      <c r="AI5" s="1">
        <f>$AH$2+(2*3-1)/(2*15)*$AH$4</f>
        <v>-0.3038099698830786</v>
      </c>
      <c r="AJ5" s="2">
        <f>[1]!COUNTBETW(rmsft,($AI$5+$AI$4)/2,($AI$5+$AI$6)/2,2)</f>
        <v>0</v>
      </c>
      <c r="AK5">
        <f>AVERAGE(rmsft)</f>
        <v>0.027563867476635005</v>
      </c>
      <c r="AL5" s="1">
        <f>$AK$2+3/15*$AK$4</f>
        <v>-0.2803964864390841</v>
      </c>
      <c r="AM5" s="2">
        <f>[1]!COUNTBETW(rmsft,$AL$4,$AL$5,3)</f>
        <v>0</v>
      </c>
      <c r="AN5">
        <f>AVERAGE(rsbux)</f>
        <v>0.027768113312115004</v>
      </c>
      <c r="AO5" s="1">
        <f>$AN$2+(2*3-1)/(2*15)*$AN$4</f>
        <v>-0.35313972369300656</v>
      </c>
      <c r="AP5" s="4">
        <f>[1]!COUNTBETW(rsbux,($AO$5+$AO$4)/2,($AO$5+$AO$6)/2,2)/$AN$7</f>
        <v>0</v>
      </c>
      <c r="AQ5">
        <f>AVERAGE(rsp500)</f>
        <v>0.012533998019849396</v>
      </c>
      <c r="AR5" s="1">
        <f>$AQ$2+(2*3-1)/(2*15)*$AQ$4</f>
        <v>-0.11593442304154122</v>
      </c>
      <c r="AS5" s="4">
        <f>[1]!COUNTBETW(rsp500,($AR$5+$AR$4)/2,($AR$5+$AR$6)/2,2)/$AQ$7</f>
        <v>0</v>
      </c>
      <c r="AT5">
        <f>AVERAGE(tbill)</f>
        <v>0.0038713996562277165</v>
      </c>
      <c r="AU5" s="1">
        <f>$AT$2+(2*3-1)/(2*15)*$AT$4</f>
        <v>0.002852719712628877</v>
      </c>
      <c r="AV5" s="4">
        <f>[1]!COUNTBETW(tbill,($AU$5+$AU$4)/2,($AU$5+$AU$6)/2,2)/$AT$7</f>
        <v>0.01</v>
      </c>
      <c r="AW5">
        <f>AVERAGE(rmsft)</f>
        <v>0.027563867476635005</v>
      </c>
      <c r="AX5" s="1">
        <v>-0.3528297141822535</v>
      </c>
      <c r="AY5" s="13">
        <f>[1]!COUNTBETW(rmsft,($AX$5+$AX$4)/2,($AX$5+$AX$6)/2,2)/$AW$7</f>
        <v>0</v>
      </c>
      <c r="AZ5">
        <f>AVERAGE(rsbux)</f>
        <v>0.027768113312115004</v>
      </c>
      <c r="BA5" s="1">
        <v>-0.3528297141822535</v>
      </c>
      <c r="BB5" s="13">
        <f>[1]!COUNTBETW(rsbux,($BA$5+$BA$4)/2,($BA$5+$BA$6)/2,2)/$AZ$7</f>
        <v>0</v>
      </c>
      <c r="BC5">
        <f>AVERAGE(rsp500)</f>
        <v>0.012533998019849396</v>
      </c>
      <c r="BD5" s="1">
        <v>-0.3528297141822535</v>
      </c>
      <c r="BE5" s="13">
        <f>[1]!COUNTBETW(rsp500,($BD$5+$BD$4)/2,($BD$5+$BD$6)/2,2)/$BC$7</f>
        <v>0</v>
      </c>
      <c r="BF5">
        <f>AVERAGE(tbill)</f>
        <v>0.0038713996562277165</v>
      </c>
      <c r="BG5" s="1">
        <v>-0.3528297141822535</v>
      </c>
      <c r="BH5" s="13">
        <f>[1]!COUNTBETW(tbill,($BG$5+$BG$4)/2,($BG$5+$BG$6)/2,2)/$BF$7</f>
        <v>0</v>
      </c>
      <c r="BI5">
        <f>AVERAGE(rmsft)</f>
        <v>0.027563867476635005</v>
      </c>
      <c r="BJ5" s="1">
        <f>$BI$2+(2*3-1)/(2*15)*$BI$4</f>
        <v>-0.3038099698830786</v>
      </c>
      <c r="BK5" s="4">
        <f>[1]!COUNTBETW(rmsft,($BJ$5+$BJ$4)/2,($BJ$5+$BJ$6)/2,2)/$BI$7</f>
        <v>0</v>
      </c>
    </row>
    <row r="6" spans="1:63" ht="12.75">
      <c r="A6">
        <f>STDEV(rsbux)</f>
        <v>0.13586345509520908</v>
      </c>
      <c r="B6" s="1">
        <f>$A$2+(2*4-1)/(2*15)*$A$4</f>
        <v>-0.3025151810653848</v>
      </c>
      <c r="C6" s="2">
        <f>[1]!COUNTBETW(rsbux,($B$6+$B$5)/2,($B$6+$B$7)/2,2)</f>
        <v>1</v>
      </c>
      <c r="D6">
        <f>STDEV(rsbux)</f>
        <v>0.13586345509520908</v>
      </c>
      <c r="E6" s="1">
        <f>$D$2+(2*4-1)/(2*25)*$D$4</f>
        <v>-0.3733895407440553</v>
      </c>
      <c r="F6" s="2">
        <f>[1]!COUNTBETW(rsbux,($E$6+$E$5)/2,($E$6+$E$7)/2,2)</f>
        <v>0</v>
      </c>
      <c r="G6">
        <f>STDEV(rsbux)</f>
        <v>0.13586345509520908</v>
      </c>
      <c r="H6" s="1">
        <f>$G$2+(2*4-1)/(2*5)*$G$4</f>
        <v>0.05185661732796776</v>
      </c>
      <c r="I6" s="2">
        <f>[1]!COUNTBETW(rsbux,($H$6+$H$5)/2,($H$6+$H$7)/2,2)</f>
        <v>55</v>
      </c>
      <c r="J6">
        <f>STDEV(rmsft)</f>
        <v>0.10682343525782151</v>
      </c>
      <c r="K6" s="1">
        <v>-0.30208116775033056</v>
      </c>
      <c r="L6" s="2">
        <f>[1]!COUNTBETW(rmsft,($K$6+$K$5)/2,($K$6+$K$7)/2,2)</f>
        <v>0</v>
      </c>
      <c r="M6">
        <f>STDEV(rsbux)</f>
        <v>0.13586345509520908</v>
      </c>
      <c r="N6" s="1">
        <v>-0.30208116775033056</v>
      </c>
      <c r="O6" s="2">
        <f>[1]!COUNTBETW(rsbux,($N$6+$N$5)/2,($N$6+$N$7)/2,2)</f>
        <v>1</v>
      </c>
      <c r="P6">
        <f>STDEV(rsp500)</f>
        <v>0.03784598133373071</v>
      </c>
      <c r="Q6" s="1">
        <v>-0.30208116775033056</v>
      </c>
      <c r="R6" s="2">
        <f>[1]!COUNTBETW(rsp500,($Q$6+$Q$5)/2,($Q$6+$Q$7)/2,2)</f>
        <v>0</v>
      </c>
      <c r="S6">
        <f>STDEV(rmsft)</f>
        <v>0.10682343525782151</v>
      </c>
      <c r="T6" s="1">
        <v>-0.30208116775033056</v>
      </c>
      <c r="U6" s="2">
        <f>[1]!COUNTBETW(rmsft,($T$6+$T$5)/2,($T$6+$T$7)/2,2)+$U$5</f>
        <v>1</v>
      </c>
      <c r="V6">
        <f>STDEV(rsbux)</f>
        <v>0.13586345509520908</v>
      </c>
      <c r="W6" s="1">
        <v>-0.30208116775033056</v>
      </c>
      <c r="X6" s="2">
        <f>[1]!COUNTBETW(rsbux,($W$6+$W$5)/2,($W$6+$W$7)/2,2)+$X$5</f>
        <v>3</v>
      </c>
      <c r="Y6">
        <f>STDEV(rsp500)</f>
        <v>0.03784598133373071</v>
      </c>
      <c r="Z6" s="1">
        <v>-0.30208116775033056</v>
      </c>
      <c r="AA6" s="2">
        <f>[1]!COUNTBETW(rsp500,($Z$6+$Z$5)/2,($Z$6+$Z$7)/2,2)+$AA$5</f>
        <v>0</v>
      </c>
      <c r="AB6" t="e">
        <f>STDEV(data!AB3:AB102)</f>
        <v>#DIV/0!</v>
      </c>
      <c r="AC6" s="3">
        <f>$AB$2+(2*4-1)/(2*15)*$AB$4</f>
        <v>0</v>
      </c>
      <c r="AD6" s="4" t="e">
        <f>[1]!COUNTBETW(data!AB3:AB102,($AC$6+$AC$5)/2,($AC$6+$AC$7)/2,2)/$AB$7</f>
        <v>#DIV/0!</v>
      </c>
      <c r="AE6">
        <f>STDEV(rmsft)</f>
        <v>0.10682343525782151</v>
      </c>
      <c r="AF6" s="1">
        <f>$AE$2+(4-1)/15*$AE$4</f>
        <v>-0.2803964864390841</v>
      </c>
      <c r="AG6" s="4">
        <f>[1]!COUNTBETW(rmsft,$AF$6,$AF$7,2)/$AE$7</f>
        <v>0</v>
      </c>
      <c r="AH6">
        <f>STDEV(rmsft)</f>
        <v>0.10682343525782151</v>
      </c>
      <c r="AI6" s="1">
        <f>$AH$2+(2*4-1)/(2*15)*$AH$4</f>
        <v>-0.25698300299508964</v>
      </c>
      <c r="AJ6" s="2">
        <f>[1]!COUNTBETW(rmsft,($AI$6+$AI$5)/2,($AI$6+$AI$7)/2,2)</f>
        <v>0</v>
      </c>
      <c r="AK6">
        <f>STDEV(rmsft)</f>
        <v>0.10682343525782151</v>
      </c>
      <c r="AL6" s="1">
        <f>$AK$2+4/15*$AK$4</f>
        <v>-0.23356951955109512</v>
      </c>
      <c r="AM6" s="2">
        <f>[1]!COUNTBETW(rmsft,$AL$5,$AL$6,3)</f>
        <v>0</v>
      </c>
      <c r="AN6">
        <f>STDEV(rsbux)</f>
        <v>0.13586345509520908</v>
      </c>
      <c r="AO6" s="1">
        <f>$AN$2+(2*4-1)/(2*15)*$AN$4</f>
        <v>-0.3025151810653848</v>
      </c>
      <c r="AP6" s="4">
        <f>[1]!COUNTBETW(rsbux,($AO$6+$AO$5)/2,($AO$6+$AO$7)/2,2)/$AN$7</f>
        <v>0.01</v>
      </c>
      <c r="AQ6">
        <f>STDEV(rsp500)</f>
        <v>0.03784598133373071</v>
      </c>
      <c r="AR6" s="1">
        <f>$AQ$2+(2*4-1)/(2*15)*$AQ$4</f>
        <v>-0.09927376422844003</v>
      </c>
      <c r="AS6" s="4">
        <f>[1]!COUNTBETW(rsp500,($AR$6+$AR$5)/2,($AR$6+$AR$7)/2,2)/$AQ$7</f>
        <v>0</v>
      </c>
      <c r="AT6">
        <f>STDEV(tbill)</f>
        <v>0.0007700403666631473</v>
      </c>
      <c r="AU6" s="1">
        <f>$AT$2+(2*4-1)/(2*15)*$AT$4</f>
        <v>0.0030311756126678874</v>
      </c>
      <c r="AV6" s="4">
        <f>[1]!COUNTBETW(tbill,($AU$6+$AU$5)/2,($AU$6+$AU$7)/2,2)/$AT$7</f>
        <v>0.01</v>
      </c>
      <c r="AW6">
        <f>STDEV(rmsft)</f>
        <v>0.10682343525782151</v>
      </c>
      <c r="AX6" s="1">
        <v>-0.30208116775033056</v>
      </c>
      <c r="AY6" s="13">
        <f>[1]!COUNTBETW(rmsft,($AX$6+$AX$5)/2,($AX$6+$AX$7)/2,2)/$AW$7</f>
        <v>0</v>
      </c>
      <c r="AZ6">
        <f>STDEV(rsbux)</f>
        <v>0.13586345509520908</v>
      </c>
      <c r="BA6" s="1">
        <v>-0.30208116775033056</v>
      </c>
      <c r="BB6" s="13">
        <f>[1]!COUNTBETW(rsbux,($BA$6+$BA$5)/2,($BA$6+$BA$7)/2,2)/$AZ$7</f>
        <v>0.01</v>
      </c>
      <c r="BC6">
        <f>STDEV(rsp500)</f>
        <v>0.03784598133373071</v>
      </c>
      <c r="BD6" s="1">
        <v>-0.30208116775033056</v>
      </c>
      <c r="BE6" s="13">
        <f>[1]!COUNTBETW(rsp500,($BD$6+$BD$5)/2,($BD$6+$BD$7)/2,2)/$BC$7</f>
        <v>0</v>
      </c>
      <c r="BF6">
        <f>STDEV(tbill)</f>
        <v>0.0007700403666631473</v>
      </c>
      <c r="BG6" s="1">
        <v>-0.30208116775033056</v>
      </c>
      <c r="BH6" s="13">
        <f>[1]!COUNTBETW(tbill,($BG$6+$BG$5)/2,($BG$6+$BG$7)/2,2)/$BF$7</f>
        <v>0</v>
      </c>
      <c r="BI6">
        <f>STDEV(rmsft)</f>
        <v>0.10682343525782151</v>
      </c>
      <c r="BJ6" s="1">
        <f>$BI$2+(2*4-1)/(2*15)*$BI$4</f>
        <v>-0.25698300299508964</v>
      </c>
      <c r="BK6" s="4">
        <f>[1]!COUNTBETW(rmsft,($BJ$6+$BJ$5)/2,($BJ$6+$BJ$7)/2,2)/$BI$7</f>
        <v>0</v>
      </c>
    </row>
    <row r="7" spans="1:63" ht="12.75">
      <c r="A7">
        <f>COUNT(rsbux)</f>
        <v>100</v>
      </c>
      <c r="B7" s="1">
        <f>$A$2+(2*5-1)/(2*15)*$A$4</f>
        <v>-0.251890638437763</v>
      </c>
      <c r="C7" s="2">
        <f>[1]!COUNTBETW(rsbux,($B$7+$B$6)/2,($B$7+$B$8)/2,2)</f>
        <v>2</v>
      </c>
      <c r="D7">
        <f>COUNT(rsbux)</f>
        <v>100</v>
      </c>
      <c r="E7" s="1">
        <f>$D$2+(2*5-1)/(2*25)*$D$4</f>
        <v>-0.3430148151674822</v>
      </c>
      <c r="F7" s="2">
        <f>[1]!COUNTBETW(rsbux,($E$7+$E$6)/2,($E$7+$E$8)/2,2)</f>
        <v>0</v>
      </c>
      <c r="G7">
        <f>COUNT(rsbux)</f>
        <v>100</v>
      </c>
      <c r="H7" s="1">
        <f>$G$2+(2*5-1)/(2*5)*$G$4</f>
        <v>0.20373024521083316</v>
      </c>
      <c r="I7" s="2">
        <f>[1]!COUNTBETW(rsbux,($H$7+$H$6)/2,$G$3,4)</f>
        <v>21</v>
      </c>
      <c r="J7">
        <f>COUNT(rmsft)</f>
        <v>100</v>
      </c>
      <c r="K7" s="1">
        <v>-0.25133262131840756</v>
      </c>
      <c r="L7" s="2">
        <f>[1]!COUNTBETW(rmsft,($K$7+$K$6)/2,($K$7+$K$8)/2,2)</f>
        <v>0</v>
      </c>
      <c r="M7">
        <f>COUNT(rsbux)</f>
        <v>100</v>
      </c>
      <c r="N7" s="1">
        <v>-0.25133262131840756</v>
      </c>
      <c r="O7" s="2">
        <f>[1]!COUNTBETW(rsbux,($N$7+$N$6)/2,($N$7+$N$8)/2,2)</f>
        <v>3</v>
      </c>
      <c r="P7">
        <f>COUNT(rsp500)</f>
        <v>100</v>
      </c>
      <c r="Q7" s="1">
        <v>-0.25133262131840756</v>
      </c>
      <c r="R7" s="2">
        <f>[1]!COUNTBETW(rsp500,($Q$7+$Q$6)/2,($Q$7+$Q$8)/2,2)</f>
        <v>0</v>
      </c>
      <c r="S7">
        <f>COUNT(rmsft)</f>
        <v>100</v>
      </c>
      <c r="T7" s="1">
        <v>-0.25133262131840756</v>
      </c>
      <c r="U7" s="2">
        <f>[1]!COUNTBETW(rmsft,($T$7+$T$6)/2,($T$7+$T$8)/2,2)+$U$6</f>
        <v>1</v>
      </c>
      <c r="V7">
        <f>COUNT(rsbux)</f>
        <v>100</v>
      </c>
      <c r="W7" s="1">
        <v>-0.25133262131840756</v>
      </c>
      <c r="X7" s="2">
        <f>[1]!COUNTBETW(rsbux,($W$7+$W$6)/2,($W$7+$W$8)/2,2)+$X$6</f>
        <v>6</v>
      </c>
      <c r="Y7">
        <f>COUNT(rsp500)</f>
        <v>100</v>
      </c>
      <c r="Z7" s="1">
        <v>-0.25133262131840756</v>
      </c>
      <c r="AA7" s="2">
        <f>[1]!COUNTBETW(rsp500,($Z$7+$Z$6)/2,($Z$7+$Z$8)/2,2)+$AA$6</f>
        <v>0</v>
      </c>
      <c r="AB7">
        <f>COUNT(data!AB3:AB102)</f>
        <v>0</v>
      </c>
      <c r="AC7" s="3">
        <f>$AB$2+(2*5-1)/(2*15)*$AB$4</f>
        <v>0</v>
      </c>
      <c r="AD7" s="4" t="e">
        <f>[1]!COUNTBETW(data!AB3:AB102,($AC$7+$AC$6)/2,($AC$7+$AC$8)/2,2)/$AB$7</f>
        <v>#DIV/0!</v>
      </c>
      <c r="AE7">
        <f>COUNT(rmsft)</f>
        <v>100</v>
      </c>
      <c r="AF7" s="1">
        <f>$AE$2+(5-1)/15*$AE$4</f>
        <v>-0.23356951955109512</v>
      </c>
      <c r="AG7" s="4">
        <f>[1]!COUNTBETW(rmsft,$AF$7,$AF$8,2)/$AE$7</f>
        <v>0</v>
      </c>
      <c r="AH7">
        <f>COUNT(rmsft)</f>
        <v>100</v>
      </c>
      <c r="AI7" s="1">
        <f>$AH$2+(2*5-1)/(2*15)*$AH$4</f>
        <v>-0.21015603610710062</v>
      </c>
      <c r="AJ7" s="2">
        <f>[1]!COUNTBETW(rmsft,($AI$7+$AI$6)/2,($AI$7+$AI$8)/2,2)</f>
        <v>0</v>
      </c>
      <c r="AK7">
        <f>COUNT(rmsft)</f>
        <v>100</v>
      </c>
      <c r="AL7" s="1">
        <f>$AK$2+5/15*$AK$4</f>
        <v>-0.18674255266310613</v>
      </c>
      <c r="AM7" s="2">
        <f>[1]!COUNTBETW(rmsft,$AL$6,$AL$7,3)</f>
        <v>0</v>
      </c>
      <c r="AN7">
        <f>COUNT(rsbux)</f>
        <v>100</v>
      </c>
      <c r="AO7" s="1">
        <f>$AN$2+(2*5-1)/(2*15)*$AN$4</f>
        <v>-0.251890638437763</v>
      </c>
      <c r="AP7" s="4">
        <f>[1]!COUNTBETW(rsbux,($AO$7+$AO$6)/2,($AO$7+$AO$8)/2,2)/$AN$7</f>
        <v>0.02</v>
      </c>
      <c r="AQ7">
        <f>COUNT(rsp500)</f>
        <v>100</v>
      </c>
      <c r="AR7" s="1">
        <f>$AQ$2+(2*5-1)/(2*15)*$AQ$4</f>
        <v>-0.08261310541533887</v>
      </c>
      <c r="AS7" s="4">
        <f>[1]!COUNTBETW(rsp500,($AR$7+$AR$6)/2,($AR$7+$AR$8)/2,2)/$AQ$7</f>
        <v>0</v>
      </c>
      <c r="AT7">
        <f>COUNT(tbill)</f>
        <v>100</v>
      </c>
      <c r="AU7" s="1">
        <f>$AT$2+(2*5-1)/(2*15)*$AT$4</f>
        <v>0.003209631512706898</v>
      </c>
      <c r="AV7" s="4">
        <f>[1]!COUNTBETW(tbill,($AU$7+$AU$6)/2,($AU$7+$AU$8)/2,2)/$AT$7</f>
        <v>0</v>
      </c>
      <c r="AW7">
        <f>COUNT(rmsft)</f>
        <v>100</v>
      </c>
      <c r="AX7" s="1">
        <v>-0.25133262131840756</v>
      </c>
      <c r="AY7" s="13">
        <f>[1]!COUNTBETW(rmsft,($AX$7+$AX$6)/2,($AX$7+$AX$8)/2,2)/$AW$7</f>
        <v>0</v>
      </c>
      <c r="AZ7">
        <f>COUNT(rsbux)</f>
        <v>100</v>
      </c>
      <c r="BA7" s="1">
        <v>-0.25133262131840756</v>
      </c>
      <c r="BB7" s="13">
        <f>[1]!COUNTBETW(rsbux,($BA$7+$BA$6)/2,($BA$7+$BA$8)/2,2)/$AZ$7</f>
        <v>0.03</v>
      </c>
      <c r="BC7">
        <f>COUNT(rsp500)</f>
        <v>100</v>
      </c>
      <c r="BD7" s="1">
        <v>-0.25133262131840756</v>
      </c>
      <c r="BE7" s="13">
        <f>[1]!COUNTBETW(rsp500,($BD$7+$BD$6)/2,($BD$7+$BD$8)/2,2)/$BC$7</f>
        <v>0</v>
      </c>
      <c r="BF7">
        <f>COUNT(tbill)</f>
        <v>100</v>
      </c>
      <c r="BG7" s="1">
        <v>-0.25133262131840756</v>
      </c>
      <c r="BH7" s="13">
        <f>[1]!COUNTBETW(tbill,($BG$7+$BG$6)/2,($BG$7+$BG$8)/2,2)/$BF$7</f>
        <v>0</v>
      </c>
      <c r="BI7">
        <f>COUNT(rmsft)</f>
        <v>100</v>
      </c>
      <c r="BJ7" s="1">
        <f>$BI$2+(2*5-1)/(2*15)*$BI$4</f>
        <v>-0.21015603610710062</v>
      </c>
      <c r="BK7" s="4">
        <f>[1]!COUNTBETW(rmsft,($BJ$7+$BJ$6)/2,($BJ$7+$BJ$8)/2,2)/$BI$7</f>
        <v>0</v>
      </c>
    </row>
    <row r="8" spans="2:63" ht="12.75">
      <c r="B8" s="1">
        <f>$A$2+(2*6-1)/(2*15)*$A$4</f>
        <v>-0.2012660958101412</v>
      </c>
      <c r="C8" s="2">
        <f>[1]!COUNTBETW(rsbux,($B$8+$B$7)/2,($B$8+$B$9)/2,2)</f>
        <v>4</v>
      </c>
      <c r="E8" s="1">
        <f>$D$2+(2*6-1)/(2*25)*$D$4</f>
        <v>-0.3126400895909091</v>
      </c>
      <c r="F8" s="2">
        <f>[1]!COUNTBETW(rsbux,($E$8+$E$7)/2,($E$8+$E$9)/2,2)</f>
        <v>0</v>
      </c>
      <c r="K8" s="1">
        <v>-0.20058407488648455</v>
      </c>
      <c r="L8" s="2">
        <f>[1]!COUNTBETW(rmsft,($K$8+$K$7)/2,($K$8+$K$9)/2,2)</f>
        <v>1</v>
      </c>
      <c r="N8" s="1">
        <v>-0.20058407488648455</v>
      </c>
      <c r="O8" s="2">
        <f>[1]!COUNTBETW(rsbux,($N$8+$N$7)/2,($N$8+$N$9)/2,2)</f>
        <v>3</v>
      </c>
      <c r="Q8" s="1">
        <v>-0.20058407488648455</v>
      </c>
      <c r="R8" s="2">
        <f>[1]!COUNTBETW(rsp500,($Q$8+$Q$7)/2,($Q$8+$Q$9)/2,2)</f>
        <v>0</v>
      </c>
      <c r="T8" s="1">
        <v>-0.20058407488648455</v>
      </c>
      <c r="U8" s="2">
        <f>[1]!COUNTBETW(rmsft,($T$8+$T$7)/2,($T$8+$T$9)/2,2)+$U$7</f>
        <v>2</v>
      </c>
      <c r="W8" s="1">
        <v>-0.20058407488648455</v>
      </c>
      <c r="X8" s="2">
        <f>[1]!COUNTBETW(rsbux,($W$8+$W$7)/2,($W$8+$W$9)/2,2)+$X$7</f>
        <v>9</v>
      </c>
      <c r="Z8" s="1">
        <v>-0.20058407488648455</v>
      </c>
      <c r="AA8" s="2">
        <f>[1]!COUNTBETW(rsp500,($Z$8+$Z$7)/2,($Z$8+$Z$9)/2,2)+$AA$7</f>
        <v>0</v>
      </c>
      <c r="AC8" s="3">
        <f>$AB$2+(2*6-1)/(2*15)*$AB$4</f>
        <v>0</v>
      </c>
      <c r="AD8" s="4" t="e">
        <f>[1]!COUNTBETW(data!AB3:AB102,($AC$8+$AC$7)/2,($AC$8+$AC$9)/2,2)/$AB$7</f>
        <v>#DIV/0!</v>
      </c>
      <c r="AF8" s="1">
        <f>$AE$2+(6-1)/15*$AE$4</f>
        <v>-0.18674255266310613</v>
      </c>
      <c r="AG8" s="4">
        <f>[1]!COUNTBETW(rmsft,$AF$8,$AF$9,2)/$AE$7</f>
        <v>0.04</v>
      </c>
      <c r="AI8" s="1">
        <f>$AH$2+(2*6-1)/(2*15)*$AH$4</f>
        <v>-0.1633290692191116</v>
      </c>
      <c r="AJ8" s="2">
        <f>[1]!COUNTBETW(rmsft,($AI$8+$AI$7)/2,($AI$8+$AI$9)/2,2)</f>
        <v>4</v>
      </c>
      <c r="AL8" s="1">
        <f>$AK$2+6/15*$AK$4</f>
        <v>-0.1399155857751171</v>
      </c>
      <c r="AM8" s="2">
        <f>[1]!COUNTBETW(rmsft,$AL$7,$AL$8,3)</f>
        <v>4</v>
      </c>
      <c r="AO8" s="1">
        <f>$AN$2+(2*6-1)/(2*15)*$AN$4</f>
        <v>-0.2012660958101412</v>
      </c>
      <c r="AP8" s="4">
        <f>[1]!COUNTBETW(rsbux,($AO$8+$AO$7)/2,($AO$8+$AO$9)/2,2)/$AN$7</f>
        <v>0.04</v>
      </c>
      <c r="AR8" s="1">
        <f>$AQ$2+(2*6-1)/(2*15)*$AQ$4</f>
        <v>-0.06595244660223769</v>
      </c>
      <c r="AS8" s="4">
        <f>[1]!COUNTBETW(rsp500,($AR$8+$AR$7)/2,($AR$8+$AR$9)/2,2)/$AQ$7</f>
        <v>0.01</v>
      </c>
      <c r="AU8" s="1">
        <f>$AT$2+(2*6-1)/(2*15)*$AT$4</f>
        <v>0.0033880874127459083</v>
      </c>
      <c r="AV8" s="4">
        <f>[1]!COUNTBETW(tbill,($AU$8+$AU$7)/2,($AU$8+$AU$9)/2,2)/$AT$7</f>
        <v>0.02</v>
      </c>
      <c r="AX8" s="1">
        <v>-0.20058407488648455</v>
      </c>
      <c r="AY8" s="13">
        <f>[1]!COUNTBETW(rmsft,($AX$8+$AX$7)/2,($AX$8+$AX$9)/2,2)/$AW$7</f>
        <v>0.01</v>
      </c>
      <c r="BA8" s="1">
        <v>-0.20058407488648455</v>
      </c>
      <c r="BB8" s="13">
        <f>[1]!COUNTBETW(rsbux,($BA$8+$BA$7)/2,($BA$8+$BA$9)/2,2)/$AZ$7</f>
        <v>0.03</v>
      </c>
      <c r="BD8" s="1">
        <v>-0.20058407488648455</v>
      </c>
      <c r="BE8" s="13">
        <f>[1]!COUNTBETW(rsp500,($BD$8+$BD$7)/2,($BD$8+$BD$9)/2,2)/$BC$7</f>
        <v>0</v>
      </c>
      <c r="BG8" s="1">
        <v>-0.20058407488648455</v>
      </c>
      <c r="BH8" s="13">
        <f>[1]!COUNTBETW(tbill,($BG$8+$BG$7)/2,($BG$8+$BG$9)/2,2)/$BF$7</f>
        <v>0</v>
      </c>
      <c r="BJ8" s="1">
        <f>$BI$2+(2*6-1)/(2*15)*$BI$4</f>
        <v>-0.1633290692191116</v>
      </c>
      <c r="BK8" s="4">
        <f>[1]!COUNTBETW(rmsft,($BJ$8+$BJ$7)/2,($BJ$8+$BJ$9)/2,2)/$BI$7</f>
        <v>0.04</v>
      </c>
    </row>
    <row r="9" spans="2:63" ht="12.75">
      <c r="B9" s="1">
        <f>$A$2+(2*7-1)/(2*15)*$A$4</f>
        <v>-0.15064155318251937</v>
      </c>
      <c r="C9" s="2">
        <f>[1]!COUNTBETW(rsbux,($B$9+$B$8)/2,($B$9+$B$10)/2,2)</f>
        <v>2</v>
      </c>
      <c r="E9" s="1">
        <f>$D$2+(2*7-1)/(2*25)*$D$4</f>
        <v>-0.28226536401433605</v>
      </c>
      <c r="F9" s="2">
        <f>[1]!COUNTBETW(rsbux,($E$9+$E$8)/2,($E$9+$E$10)/2,2)</f>
        <v>1</v>
      </c>
      <c r="K9" s="1">
        <v>-0.14983552845456155</v>
      </c>
      <c r="L9" s="2">
        <f>[1]!COUNTBETW(rmsft,($K$9+$K$8)/2,($K$9+$K$10)/2,2)</f>
        <v>6</v>
      </c>
      <c r="N9" s="1">
        <v>-0.14983552845456155</v>
      </c>
      <c r="O9" s="2">
        <f>[1]!COUNTBETW(rsbux,($N$9+$N$8)/2,($N$9+$N$10)/2,2)</f>
        <v>2</v>
      </c>
      <c r="Q9" s="1">
        <v>-0.14983552845456155</v>
      </c>
      <c r="R9" s="2">
        <f>[1]!COUNTBETW(rsp500,($Q$9+$Q$8)/2,($Q$9+$Q$10)/2,2)</f>
        <v>1</v>
      </c>
      <c r="T9" s="1">
        <v>-0.14983552845456155</v>
      </c>
      <c r="U9" s="2">
        <f>[1]!COUNTBETW(rmsft,($T$9+$T$8)/2,($T$9+$T$10)/2,2)+$U$8</f>
        <v>8</v>
      </c>
      <c r="W9" s="1">
        <v>-0.14983552845456155</v>
      </c>
      <c r="X9" s="2">
        <f>[1]!COUNTBETW(rsbux,($W$9+$W$8)/2,($W$9+$W$10)/2,2)+$X$8</f>
        <v>11</v>
      </c>
      <c r="Z9" s="1">
        <v>-0.14983552845456155</v>
      </c>
      <c r="AA9" s="2">
        <f>[1]!COUNTBETW(rsp500,($Z$9+$Z$8)/2,($Z$9+$Z$10)/2,2)+$AA$8</f>
        <v>1</v>
      </c>
      <c r="AC9" s="3">
        <f>$AB$2+(2*7-1)/(2*15)*$AB$4</f>
        <v>0</v>
      </c>
      <c r="AD9" s="4" t="e">
        <f>[1]!COUNTBETW(data!AB3:AB102,($AC$9+$AC$8)/2,($AC$9+$AC$10)/2,2)/$AB$7</f>
        <v>#DIV/0!</v>
      </c>
      <c r="AF9" s="1">
        <f>$AE$2+(7-1)/15*$AE$4</f>
        <v>-0.1399155857751171</v>
      </c>
      <c r="AG9" s="4">
        <f>[1]!COUNTBETW(rmsft,$AF$9,$AF$10,2)/$AE$7</f>
        <v>0.05</v>
      </c>
      <c r="AI9" s="1">
        <f>$AH$2+(2*7-1)/(2*15)*$AH$4</f>
        <v>-0.11650210233112257</v>
      </c>
      <c r="AJ9" s="2">
        <f>[1]!COUNTBETW(rmsft,($AI$9+$AI$8)/2,($AI$9+$AI$10)/2,2)</f>
        <v>5</v>
      </c>
      <c r="AL9" s="1">
        <f>$AK$2+7/15*$AK$4</f>
        <v>-0.0930886188871281</v>
      </c>
      <c r="AM9" s="2">
        <f>[1]!COUNTBETW(rmsft,$AL$8,$AL$9,3)</f>
        <v>5</v>
      </c>
      <c r="AO9" s="1">
        <f>$AN$2+(2*7-1)/(2*15)*$AN$4</f>
        <v>-0.15064155318251937</v>
      </c>
      <c r="AP9" s="4">
        <f>[1]!COUNTBETW(rsbux,($AO$9+$AO$8)/2,($AO$9+$AO$10)/2,2)/$AN$7</f>
        <v>0.02</v>
      </c>
      <c r="AR9" s="1">
        <f>$AQ$2+(2*7-1)/(2*15)*$AQ$4</f>
        <v>-0.049291787789136496</v>
      </c>
      <c r="AS9" s="4">
        <f>[1]!COUNTBETW(rsp500,($AR$9+$AR$8)/2,($AR$9+$AR$10)/2,2)/$AQ$7</f>
        <v>0.05</v>
      </c>
      <c r="AU9" s="1">
        <f>$AT$2+(2*7-1)/(2*15)*$AT$4</f>
        <v>0.0035665433127849188</v>
      </c>
      <c r="AV9" s="4">
        <f>[1]!COUNTBETW(tbill,($AU$9+$AU$8)/2,($AU$9+$AU$10)/2,2)/$AT$7</f>
        <v>0.04</v>
      </c>
      <c r="AX9" s="1">
        <v>-0.14983552845456155</v>
      </c>
      <c r="AY9" s="13">
        <f>[1]!COUNTBETW(rmsft,($AX$9+$AX$8)/2,($AX$9+$AX$10)/2,2)/$AW$7</f>
        <v>0.06</v>
      </c>
      <c r="BA9" s="1">
        <v>-0.14983552845456155</v>
      </c>
      <c r="BB9" s="13">
        <f>[1]!COUNTBETW(rsbux,($BA$9+$BA$8)/2,($BA$9+$BA$10)/2,2)/$AZ$7</f>
        <v>0.02</v>
      </c>
      <c r="BD9" s="1">
        <v>-0.14983552845456155</v>
      </c>
      <c r="BE9" s="13">
        <f>[1]!COUNTBETW(rsp500,($BD$9+$BD$8)/2,($BD$9+$BD$10)/2,2)/$BC$7</f>
        <v>0.01</v>
      </c>
      <c r="BG9" s="1">
        <v>-0.14983552845456155</v>
      </c>
      <c r="BH9" s="13">
        <f>[1]!COUNTBETW(tbill,($BG$9+$BG$8)/2,($BG$9+$BG$10)/2,2)/$BF$7</f>
        <v>0</v>
      </c>
      <c r="BJ9" s="1">
        <f>$BI$2+(2*7-1)/(2*15)*$BI$4</f>
        <v>-0.11650210233112257</v>
      </c>
      <c r="BK9" s="4">
        <f>[1]!COUNTBETW(rmsft,($BJ$9+$BJ$8)/2,($BJ$9+$BJ$10)/2,2)/$BI$7</f>
        <v>0.05</v>
      </c>
    </row>
    <row r="10" spans="2:63" ht="12.75">
      <c r="B10" s="1">
        <f>$A$2+(2*8-1)/(2*15)*$A$4</f>
        <v>-0.10001701055489759</v>
      </c>
      <c r="C10" s="2">
        <f>[1]!COUNTBETW(rsbux,($B$10+$B$9)/2,($B$10+$B$11)/2,2)</f>
        <v>4</v>
      </c>
      <c r="E10" s="1">
        <f>$D$2+(2*8-1)/(2*25)*$D$4</f>
        <v>-0.251890638437763</v>
      </c>
      <c r="F10" s="2">
        <f>[1]!COUNTBETW(rsbux,($E$10+$E$9)/2,($E$10+$E$11)/2,2)</f>
        <v>1</v>
      </c>
      <c r="K10" s="1">
        <v>-0.09908698202263855</v>
      </c>
      <c r="L10" s="2">
        <f>[1]!COUNTBETW(rmsft,($K$10+$K$9)/2,($K$10+$K$11)/2,2)</f>
        <v>6</v>
      </c>
      <c r="N10" s="1">
        <v>-0.09908698202263855</v>
      </c>
      <c r="O10" s="2">
        <f>[1]!COUNTBETW(rsbux,($N$10+$N$9)/2,($N$10+$N$11)/2,2)</f>
        <v>4</v>
      </c>
      <c r="Q10" s="1">
        <v>-0.09908698202263855</v>
      </c>
      <c r="R10" s="2">
        <f>[1]!COUNTBETW(rsp500,($Q$10+$Q$9)/2,($Q$10+$Q$11)/2,2)</f>
        <v>0</v>
      </c>
      <c r="T10" s="1">
        <v>-0.09908698202263855</v>
      </c>
      <c r="U10" s="2">
        <f>[1]!COUNTBETW(rmsft,($T$10+$T$9)/2,($T$10+$T$11)/2,2)+$U$9</f>
        <v>14</v>
      </c>
      <c r="W10" s="1">
        <v>-0.09908698202263855</v>
      </c>
      <c r="X10" s="2">
        <f>[1]!COUNTBETW(rsbux,($W$10+$W$9)/2,($W$10+$W$11)/2,2)+$X$9</f>
        <v>15</v>
      </c>
      <c r="Z10" s="1">
        <v>-0.09908698202263855</v>
      </c>
      <c r="AA10" s="2">
        <f>[1]!COUNTBETW(rsp500,($Z$10+$Z$9)/2,($Z$10+$Z$11)/2,2)+$AA$9</f>
        <v>1</v>
      </c>
      <c r="AC10" s="3">
        <f>$AB$2+(2*8-1)/(2*15)*$AB$4</f>
        <v>0</v>
      </c>
      <c r="AD10" s="4" t="e">
        <f>[1]!COUNTBETW(data!AB3:AB102,($AC$10+$AC$9)/2,($AC$10+$AC$11)/2,2)/$AB$7</f>
        <v>#DIV/0!</v>
      </c>
      <c r="AF10" s="1">
        <f>$AE$2+(8-1)/15*$AE$4</f>
        <v>-0.0930886188871281</v>
      </c>
      <c r="AG10" s="4">
        <f>[1]!COUNTBETW(rmsft,$AF$10,$AF$11,2)/$AE$7</f>
        <v>0.09</v>
      </c>
      <c r="AI10" s="1">
        <f>$AH$2+(2*8-1)/(2*15)*$AH$4</f>
        <v>-0.06967513544313358</v>
      </c>
      <c r="AJ10" s="2">
        <f>[1]!COUNTBETW(rmsft,($AI$10+$AI$9)/2,($AI$10+$AI$11)/2,2)</f>
        <v>9</v>
      </c>
      <c r="AL10" s="1">
        <f>$AK$2+8/15*$AK$4</f>
        <v>-0.046261651999139064</v>
      </c>
      <c r="AM10" s="2">
        <f>[1]!COUNTBETW(rmsft,$AL$9,$AL$10,3)</f>
        <v>9</v>
      </c>
      <c r="AO10" s="1">
        <f>$AN$2+(2*8-1)/(2*15)*$AN$4</f>
        <v>-0.10001701055489759</v>
      </c>
      <c r="AP10" s="4">
        <f>[1]!COUNTBETW(rsbux,($AO$10+$AO$9)/2,($AO$10+$AO$11)/2,2)/$AN$7</f>
        <v>0.04</v>
      </c>
      <c r="AR10" s="1">
        <f>$AQ$2+(2*8-1)/(2*15)*$AQ$4</f>
        <v>-0.03263112897603532</v>
      </c>
      <c r="AS10" s="4">
        <f>[1]!COUNTBETW(rsp500,($AR$10+$AR$9)/2,($AR$10+$AR$11)/2,2)/$AQ$7</f>
        <v>0.11</v>
      </c>
      <c r="AU10" s="1">
        <f>$AT$2+(2*8-1)/(2*15)*$AT$4</f>
        <v>0.003744999212823929</v>
      </c>
      <c r="AV10" s="4">
        <f>[1]!COUNTBETW(tbill,($AU$10+$AU$9)/2,($AU$10+$AU$11)/2,2)/$AT$7</f>
        <v>0.07</v>
      </c>
      <c r="AX10" s="1">
        <v>-0.09908698202263855</v>
      </c>
      <c r="AY10" s="13">
        <f>[1]!COUNTBETW(rmsft,($AX$10+$AX$9)/2,($AX$10+$AX$11)/2,2)/$AW$7</f>
        <v>0.06</v>
      </c>
      <c r="BA10" s="1">
        <v>-0.09908698202263855</v>
      </c>
      <c r="BB10" s="13">
        <f>[1]!COUNTBETW(rsbux,($BA$10+$BA$9)/2,($BA$10+$BA$11)/2,2)/$AZ$7</f>
        <v>0.04</v>
      </c>
      <c r="BD10" s="1">
        <v>-0.09908698202263855</v>
      </c>
      <c r="BE10" s="13">
        <f>[1]!COUNTBETW(rsp500,($BD$10+$BD$9)/2,($BD$10+$BD$11)/2,2)/$BC$7</f>
        <v>0</v>
      </c>
      <c r="BG10" s="1">
        <v>-0.09908698202263855</v>
      </c>
      <c r="BH10" s="13">
        <f>[1]!COUNTBETW(tbill,($BG$10+$BG$9)/2,($BG$10+$BG$11)/2,2)/$BF$7</f>
        <v>0</v>
      </c>
      <c r="BJ10" s="1">
        <f>$BI$2+(2*8-1)/(2*15)*$BI$4</f>
        <v>-0.06967513544313358</v>
      </c>
      <c r="BK10" s="4">
        <f>[1]!COUNTBETW(rmsft,($BJ$10+$BJ$9)/2,($BJ$10+$BJ$11)/2,2)/$BI$7</f>
        <v>0.09</v>
      </c>
    </row>
    <row r="11" spans="2:63" ht="12.75">
      <c r="B11" s="1">
        <f>$A$2+(2*9-1)/(2*15)*$A$4</f>
        <v>-0.04939246792727581</v>
      </c>
      <c r="C11" s="2">
        <f>[1]!COUNTBETW(rsbux,($B$11+$B$10)/2,($B$11+$B$12)/2,2)</f>
        <v>9</v>
      </c>
      <c r="E11" s="1">
        <f>$D$2+(2*9-1)/(2*25)*$D$4</f>
        <v>-0.22151591286118988</v>
      </c>
      <c r="F11" s="2">
        <f>[1]!COUNTBETW(rsbux,($E$11+$E$10)/2,($E$11+$E$12)/2,2)</f>
        <v>2</v>
      </c>
      <c r="K11" s="1">
        <v>-0.048338435590715545</v>
      </c>
      <c r="L11" s="2">
        <f>[1]!COUNTBETW(rmsft,($K$11+$K$10)/2,($K$11+$K$12)/2,2)</f>
        <v>14</v>
      </c>
      <c r="N11" s="1">
        <v>-0.048338435590715545</v>
      </c>
      <c r="O11" s="2">
        <f>[1]!COUNTBETW(rsbux,($N$11+$N$10)/2,($N$11+$N$12)/2,2)</f>
        <v>12</v>
      </c>
      <c r="Q11" s="1">
        <v>-0.048338435590715545</v>
      </c>
      <c r="R11" s="2">
        <f>[1]!COUNTBETW(rsp500,($Q$11+$Q$10)/2,($Q$11+$Q$12)/2,2)</f>
        <v>18</v>
      </c>
      <c r="T11" s="1">
        <v>-0.048338435590715545</v>
      </c>
      <c r="U11" s="2">
        <f>[1]!COUNTBETW(rmsft,($T$11+$T$10)/2,($T$11+$T$12)/2,2)+$U$10</f>
        <v>28</v>
      </c>
      <c r="W11" s="1">
        <v>-0.048338435590715545</v>
      </c>
      <c r="X11" s="2">
        <f>[1]!COUNTBETW(rsbux,($W$11+$W$10)/2,($W$11+$W$12)/2,2)+$X$10</f>
        <v>27</v>
      </c>
      <c r="Z11" s="1">
        <v>-0.048338435590715545</v>
      </c>
      <c r="AA11" s="2">
        <f>[1]!COUNTBETW(rsp500,($Z$11+$Z$10)/2,($Z$11+$Z$12)/2,2)+$AA$10</f>
        <v>19</v>
      </c>
      <c r="AC11" s="3">
        <f>$AB$2+(2*9-1)/(2*15)*$AB$4</f>
        <v>0</v>
      </c>
      <c r="AD11" s="4" t="e">
        <f>[1]!COUNTBETW(data!AB3:AB102,($AC$11+$AC$10)/2,($AC$11+$AC$12)/2,2)/$AB$7</f>
        <v>#DIV/0!</v>
      </c>
      <c r="AF11" s="1">
        <f>$AE$2+(9-1)/15*$AE$4</f>
        <v>-0.046261651999139064</v>
      </c>
      <c r="AG11" s="4">
        <f>[1]!COUNTBETW(rmsft,$AF$11,$AF$12,2)/$AE$7</f>
        <v>0.19</v>
      </c>
      <c r="AI11" s="1">
        <f>$AH$2+(2*9-1)/(2*15)*$AH$4</f>
        <v>-0.0228481685551446</v>
      </c>
      <c r="AJ11" s="2">
        <f>[1]!COUNTBETW(rmsft,($AI$11+$AI$10)/2,($AI$11+$AI$12)/2,2)</f>
        <v>19</v>
      </c>
      <c r="AL11" s="1">
        <f>$AK$2+9/15*$AK$4</f>
        <v>0.0005653148888499215</v>
      </c>
      <c r="AM11" s="2">
        <f>[1]!COUNTBETW(rmsft,$AL$10,$AL$11,3)</f>
        <v>19</v>
      </c>
      <c r="AO11" s="1">
        <f>$AN$2+(2*9-1)/(2*15)*$AN$4</f>
        <v>-0.04939246792727581</v>
      </c>
      <c r="AP11" s="4">
        <f>[1]!COUNTBETW(rsbux,($AO$11+$AO$10)/2,($AO$11+$AO$12)/2,2)/$AN$7</f>
        <v>0.09</v>
      </c>
      <c r="AR11" s="1">
        <f>$AQ$2+(2*9-1)/(2*15)*$AQ$4</f>
        <v>-0.015970470162934153</v>
      </c>
      <c r="AS11" s="4">
        <f>[1]!COUNTBETW(rsp500,($AR$11+$AR$10)/2,($AR$11+$AR$12)/2,2)/$AQ$7</f>
        <v>0.09</v>
      </c>
      <c r="AU11" s="1">
        <f>$AT$2+(2*9-1)/(2*15)*$AT$4</f>
        <v>0.00392345511286294</v>
      </c>
      <c r="AV11" s="4">
        <f>[1]!COUNTBETW(tbill,($AU$11+$AU$10)/2,($AU$11+$AU$12)/2,2)/$AT$7</f>
        <v>0.05</v>
      </c>
      <c r="AX11" s="1">
        <v>-0.048338435590715545</v>
      </c>
      <c r="AY11" s="13">
        <f>[1]!COUNTBETW(rmsft,($AX$11+$AX$10)/2,($AX$11+$AX$12)/2,2)/$AW$7</f>
        <v>0.14</v>
      </c>
      <c r="BA11" s="1">
        <v>-0.048338435590715545</v>
      </c>
      <c r="BB11" s="13">
        <f>[1]!COUNTBETW(rsbux,($BA$11+$BA$10)/2,($BA$11+$BA$12)/2,2)/$AZ$7</f>
        <v>0.12</v>
      </c>
      <c r="BD11" s="1">
        <v>-0.048338435590715545</v>
      </c>
      <c r="BE11" s="13">
        <f>[1]!COUNTBETW(rsp500,($BD$11+$BD$10)/2,($BD$11+$BD$12)/2,2)/$BC$7</f>
        <v>0.18</v>
      </c>
      <c r="BG11" s="1">
        <v>-0.048338435590715545</v>
      </c>
      <c r="BH11" s="13">
        <f>[1]!COUNTBETW(tbill,($BG$11+$BG$10)/2,($BG$11+$BG$12)/2,2)/$BF$7</f>
        <v>0</v>
      </c>
      <c r="BJ11" s="1">
        <f>$BI$2+(2*9-1)/(2*15)*$BI$4</f>
        <v>-0.0228481685551446</v>
      </c>
      <c r="BK11" s="4">
        <f>[1]!COUNTBETW(rmsft,($BJ$11+$BJ$10)/2,($BJ$11+$BJ$12)/2,2)/$BI$7</f>
        <v>0.19</v>
      </c>
    </row>
    <row r="12" spans="2:63" ht="12.75">
      <c r="B12" s="1">
        <f>$A$2+(2*10-1)/(2*15)*$A$4</f>
        <v>0.0012320747003459753</v>
      </c>
      <c r="C12" s="2">
        <f>[1]!COUNTBETW(rsbux,($B$12+$B$11)/2,($B$12+$B$13)/2,2)</f>
        <v>27</v>
      </c>
      <c r="E12" s="1">
        <f>$D$2+(2*10-1)/(2*25)*$D$4</f>
        <v>-0.19114118728461682</v>
      </c>
      <c r="F12" s="2">
        <f>[1]!COUNTBETW(rsbux,($E$12+$E$11)/2,($E$12+$E$13)/2,2)</f>
        <v>3</v>
      </c>
      <c r="K12" s="1">
        <v>0.002410110841207458</v>
      </c>
      <c r="L12" s="2">
        <f>[1]!COUNTBETW(rmsft,($K$12+$K$11)/2,($K$12+$K$13)/2,2)</f>
        <v>25</v>
      </c>
      <c r="N12" s="1">
        <v>0.002410110841207458</v>
      </c>
      <c r="O12" s="2">
        <f>[1]!COUNTBETW(rsbux,($N$12+$N$11)/2,($N$12+$N$13)/2,2)</f>
        <v>24</v>
      </c>
      <c r="Q12" s="1">
        <v>0.002410110841207458</v>
      </c>
      <c r="R12" s="2">
        <f>[1]!COUNTBETW(rsp500,($Q$12+$Q$11)/2,($Q$12+$Q$13)/2,2)</f>
        <v>45</v>
      </c>
      <c r="T12" s="1">
        <v>0.002410110841207458</v>
      </c>
      <c r="U12" s="2">
        <f>[1]!COUNTBETW(rmsft,($T$12+$T$11)/2,($T$12+$T$13)/2,2)+$U$11</f>
        <v>53</v>
      </c>
      <c r="W12" s="1">
        <v>0.002410110841207458</v>
      </c>
      <c r="X12" s="2">
        <f>[1]!COUNTBETW(rsbux,($W$12+$W$11)/2,($W$12+$W$13)/2,2)+$X$11</f>
        <v>51</v>
      </c>
      <c r="Z12" s="1">
        <v>0.002410110841207458</v>
      </c>
      <c r="AA12" s="2">
        <f>[1]!COUNTBETW(rsp500,($Z$12+$Z$11)/2,($Z$12+$Z$13)/2,2)+$AA$11</f>
        <v>64</v>
      </c>
      <c r="AC12" s="3">
        <f>$AB$2+(2*10-1)/(2*15)*$AB$4</f>
        <v>0</v>
      </c>
      <c r="AD12" s="4" t="e">
        <f>[1]!COUNTBETW(data!AB3:AB102,($AC$12+$AC$11)/2,($AC$12+$AC$13)/2,2)/$AB$7</f>
        <v>#DIV/0!</v>
      </c>
      <c r="AF12" s="1">
        <f>$AE$2+(10-1)/15*$AE$4</f>
        <v>0.0005653148888499215</v>
      </c>
      <c r="AG12" s="4">
        <f>[1]!COUNTBETW(rmsft,$AF$12,$AF$13,2)/$AE$7</f>
        <v>0.2</v>
      </c>
      <c r="AI12" s="1">
        <f>$AH$2+(2*10-1)/(2*15)*$AH$4</f>
        <v>0.023978798332844442</v>
      </c>
      <c r="AJ12" s="2">
        <f>[1]!COUNTBETW(rmsft,($AI$12+$AI$11)/2,($AI$12+$AI$13)/2,2)</f>
        <v>20</v>
      </c>
      <c r="AL12" s="1">
        <f>$AK$2+10/15*$AK$4</f>
        <v>0.04739228177683891</v>
      </c>
      <c r="AM12" s="2">
        <f>[1]!COUNTBETW(rmsft,$AL$11,$AL$12,3)</f>
        <v>20</v>
      </c>
      <c r="AO12" s="1">
        <f>$AN$2+(2*10-1)/(2*15)*$AN$4</f>
        <v>0.0012320747003459753</v>
      </c>
      <c r="AP12" s="4">
        <f>[1]!COUNTBETW(rsbux,($AO$12+$AO$11)/2,($AO$12+$AO$13)/2,2)/$AN$7</f>
        <v>0.27</v>
      </c>
      <c r="AR12" s="1">
        <f>$AQ$2+(2*10-1)/(2*15)*$AQ$4</f>
        <v>0.0006901886501670396</v>
      </c>
      <c r="AS12" s="4">
        <f>[1]!COUNTBETW(rsp500,($AR$12+$AR$11)/2,($AR$12+$AR$13)/2,2)/$AQ$7</f>
        <v>0.12</v>
      </c>
      <c r="AU12" s="1">
        <f>$AT$2+(2*10-1)/(2*15)*$AT$4</f>
        <v>0.00410191101290195</v>
      </c>
      <c r="AV12" s="4">
        <f>[1]!COUNTBETW(tbill,($AU$12+$AU$11)/2,($AU$12+$AU$13)/2,2)/$AT$7</f>
        <v>0.18</v>
      </c>
      <c r="AX12" s="1">
        <v>0.002410110841207458</v>
      </c>
      <c r="AY12" s="13">
        <f>[1]!COUNTBETW(rmsft,($AX$12+$AX$11)/2,($AX$12+$AX$13)/2,2)/$AW$7</f>
        <v>0.25</v>
      </c>
      <c r="BA12" s="1">
        <v>0.002410110841207458</v>
      </c>
      <c r="BB12" s="13">
        <f>[1]!COUNTBETW(rsbux,($BA$12+$BA$11)/2,($BA$12+$BA$13)/2,2)/$AZ$7</f>
        <v>0.24</v>
      </c>
      <c r="BD12" s="1">
        <v>0.002410110841207458</v>
      </c>
      <c r="BE12" s="13">
        <f>[1]!COUNTBETW(rsp500,($BD$12+$BD$11)/2,($BD$12+$BD$13)/2,2)/$BC$7</f>
        <v>0.45</v>
      </c>
      <c r="BG12" s="1">
        <v>0.002410110841207458</v>
      </c>
      <c r="BH12" s="13">
        <f>[1]!COUNTBETW(tbill,($BG$12+$BG$11)/2,($BG$12+$BG$13)/2,2)/$BF$7</f>
        <v>1</v>
      </c>
      <c r="BJ12" s="1">
        <f>$BI$2+(2*10-1)/(2*15)*$BI$4</f>
        <v>0.023978798332844442</v>
      </c>
      <c r="BK12" s="4">
        <f>[1]!COUNTBETW(rmsft,($BJ$12+$BJ$11)/2,($BJ$12+$BJ$13)/2,2)/$BI$7</f>
        <v>0.2</v>
      </c>
    </row>
    <row r="13" spans="2:63" ht="12.75">
      <c r="B13" s="1">
        <f>$A$2+(2*11-1)/(2*15)*$A$4</f>
        <v>0.05185661732796776</v>
      </c>
      <c r="C13" s="2">
        <f>[1]!COUNTBETW(rsbux,($B$13+$B$12)/2,($B$13+$B$14)/2,2)</f>
        <v>17</v>
      </c>
      <c r="E13" s="1">
        <f>$D$2+(2*11-1)/(2*25)*$D$4</f>
        <v>-0.16076646170804376</v>
      </c>
      <c r="F13" s="2">
        <f>[1]!COUNTBETW(rsbux,($E$13+$E$12)/2,($E$13+$E$14)/2,2)</f>
        <v>0</v>
      </c>
      <c r="K13" s="1">
        <v>0.053158657273130405</v>
      </c>
      <c r="L13" s="2">
        <f>[1]!COUNTBETW(rmsft,($K$13+$K$12)/2,($K$13+$K$14)/2,2)</f>
        <v>17</v>
      </c>
      <c r="N13" s="1">
        <v>0.053158657273130405</v>
      </c>
      <c r="O13" s="2">
        <f>[1]!COUNTBETW(rsbux,($N$13+$N$12)/2,($N$13+$N$14)/2,2)</f>
        <v>17</v>
      </c>
      <c r="Q13" s="1">
        <v>0.053158657273130405</v>
      </c>
      <c r="R13" s="2">
        <f>[1]!COUNTBETW(rsp500,($Q$13+$Q$12)/2,($Q$13+$Q$14)/2,2)</f>
        <v>35</v>
      </c>
      <c r="T13" s="1">
        <v>0.053158657273130405</v>
      </c>
      <c r="U13" s="2">
        <f>[1]!COUNTBETW(rmsft,($T$13+$T$12)/2,($T$13+$T$14)/2,2)+$U$12</f>
        <v>70</v>
      </c>
      <c r="W13" s="1">
        <v>0.053158657273130405</v>
      </c>
      <c r="X13" s="2">
        <f>[1]!COUNTBETW(rsbux,($W$13+$W$12)/2,($W$13+$W$14)/2,2)+$X$12</f>
        <v>68</v>
      </c>
      <c r="Z13" s="1">
        <v>0.053158657273130405</v>
      </c>
      <c r="AA13" s="2">
        <f>[1]!COUNTBETW(rsp500,($Z$13+$Z$12)/2,($Z$13+$Z$14)/2,2)+$AA$12</f>
        <v>99</v>
      </c>
      <c r="AC13" s="3">
        <f>$AB$2+(2*11-1)/(2*15)*$AB$4</f>
        <v>0</v>
      </c>
      <c r="AD13" s="4" t="e">
        <f>[1]!COUNTBETW(data!AB3:AB102,($AC$13+$AC$12)/2,($AC$13+$AC$14)/2,2)/$AB$7</f>
        <v>#DIV/0!</v>
      </c>
      <c r="AF13" s="1">
        <f>$AE$2+(11-1)/15*$AE$4</f>
        <v>0.04739228177683891</v>
      </c>
      <c r="AG13" s="4">
        <f>[1]!COUNTBETW(rmsft,$AF$13,$AF$14,2)/$AE$7</f>
        <v>0.17</v>
      </c>
      <c r="AI13" s="1">
        <f>$AH$2+(2*11-1)/(2*15)*$AH$4</f>
        <v>0.07080576522083343</v>
      </c>
      <c r="AJ13" s="2">
        <f>[1]!COUNTBETW(rmsft,($AI$13+$AI$12)/2,($AI$13+$AI$14)/2,2)</f>
        <v>17</v>
      </c>
      <c r="AL13" s="1">
        <f>$AK$2+11/15*$AK$4</f>
        <v>0.09421924866482795</v>
      </c>
      <c r="AM13" s="2">
        <f>[1]!COUNTBETW(rmsft,$AL$12,$AL$13,3)</f>
        <v>17</v>
      </c>
      <c r="AO13" s="1">
        <f>$AN$2+(2*11-1)/(2*15)*$AN$4</f>
        <v>0.05185661732796776</v>
      </c>
      <c r="AP13" s="4">
        <f>[1]!COUNTBETW(rsbux,($AO$13+$AO$12)/2,($AO$13+$AO$14)/2,2)/$AN$7</f>
        <v>0.17</v>
      </c>
      <c r="AR13" s="1">
        <f>$AQ$2+(2*11-1)/(2*15)*$AQ$4</f>
        <v>0.017350847463268204</v>
      </c>
      <c r="AS13" s="4">
        <f>[1]!COUNTBETW(rsp500,($AR$13+$AR$12)/2,($AR$13+$AR$14)/2,2)/$AQ$7</f>
        <v>0.22</v>
      </c>
      <c r="AU13" s="1">
        <f>$AT$2+(2*11-1)/(2*15)*$AT$4</f>
        <v>0.0042803669129409605</v>
      </c>
      <c r="AV13" s="4">
        <f>[1]!COUNTBETW(tbill,($AU$13+$AU$12)/2,($AU$13+$AU$14)/2,2)/$AT$7</f>
        <v>0.19</v>
      </c>
      <c r="AX13" s="1">
        <v>0.053158657273130405</v>
      </c>
      <c r="AY13" s="13">
        <f>[1]!COUNTBETW(rmsft,($AX$13+$AX$12)/2,($AX$13+$AX$14)/2,2)/$AW$7</f>
        <v>0.17</v>
      </c>
      <c r="BA13" s="1">
        <v>0.053158657273130405</v>
      </c>
      <c r="BB13" s="13">
        <f>[1]!COUNTBETW(rsbux,($BA$13+$BA$12)/2,($BA$13+$BA$14)/2,2)/$AZ$7</f>
        <v>0.17</v>
      </c>
      <c r="BD13" s="1">
        <v>0.053158657273130405</v>
      </c>
      <c r="BE13" s="13">
        <f>[1]!COUNTBETW(rsp500,($BD$13+$BD$12)/2,($BD$13+$BD$14)/2,2)/$BC$7</f>
        <v>0.35</v>
      </c>
      <c r="BG13" s="1">
        <v>0.053158657273130405</v>
      </c>
      <c r="BH13" s="13">
        <f>[1]!COUNTBETW(tbill,($BG$13+$BG$12)/2,($BG$13+$BG$14)/2,2)/$BF$7</f>
        <v>0</v>
      </c>
      <c r="BJ13" s="1">
        <f>$BI$2+(2*11-1)/(2*15)*$BI$4</f>
        <v>0.07080576522083343</v>
      </c>
      <c r="BK13" s="4">
        <f>[1]!COUNTBETW(rmsft,($BJ$13+$BJ$12)/2,($BJ$13+$BJ$14)/2,2)/$BI$7</f>
        <v>0.17</v>
      </c>
    </row>
    <row r="14" spans="2:63" ht="12.75">
      <c r="B14" s="1">
        <f>$A$2+(2*12-1)/(2*15)*$A$4</f>
        <v>0.1024811599555896</v>
      </c>
      <c r="C14" s="2">
        <f>[1]!COUNTBETW(rsbux,($B$14+$B$13)/2,($B$14+$B$15)/2,2)</f>
        <v>11</v>
      </c>
      <c r="E14" s="1">
        <f>$D$2+(2*12-1)/(2*25)*$D$4</f>
        <v>-0.13039173613147065</v>
      </c>
      <c r="F14" s="2">
        <f>[1]!COUNTBETW(rsbux,($E$14+$E$13)/2,($E$14+$E$15)/2,2)</f>
        <v>3</v>
      </c>
      <c r="K14" s="1">
        <v>0.10390720370505346</v>
      </c>
      <c r="L14" s="2">
        <f>[1]!COUNTBETW(rmsft,($K$14+$K$13)/2,($K$14+$K$15)/2,2)</f>
        <v>15</v>
      </c>
      <c r="N14" s="1">
        <v>0.10390720370505346</v>
      </c>
      <c r="O14" s="2">
        <f>[1]!COUNTBETW(rsbux,($N$14+$N$13)/2,($N$14+$N$15)/2,2)</f>
        <v>11</v>
      </c>
      <c r="Q14" s="1">
        <v>0.10390720370505346</v>
      </c>
      <c r="R14" s="2">
        <f>[1]!COUNTBETW(rsp500,($Q$14+$Q$13)/2,($Q$14+$Q$15)/2,2)</f>
        <v>1</v>
      </c>
      <c r="T14" s="1">
        <v>0.10390720370505346</v>
      </c>
      <c r="U14" s="2">
        <f>[1]!COUNTBETW(rmsft,($T$14+$T$13)/2,($T$14+$T$15)/2,2)+$U$13</f>
        <v>85</v>
      </c>
      <c r="W14" s="1">
        <v>0.10390720370505346</v>
      </c>
      <c r="X14" s="2">
        <f>[1]!COUNTBETW(rsbux,($W$14+$W$13)/2,($W$14+$W$15)/2,2)+$X$13</f>
        <v>79</v>
      </c>
      <c r="Z14" s="1">
        <v>0.10390720370505346</v>
      </c>
      <c r="AA14" s="2">
        <f>[1]!COUNTBETW(rsp500,($Z$14+$Z$13)/2,($Z$14+$Z$15)/2,2)+$AA$13</f>
        <v>100</v>
      </c>
      <c r="AC14" s="3">
        <f>$AB$2+(2*12-1)/(2*15)*$AB$4</f>
        <v>0</v>
      </c>
      <c r="AD14" s="4" t="e">
        <f>[1]!COUNTBETW(data!AB3:AB102,($AC$14+$AC$13)/2,($AC$14+$AC$15)/2,2)/$AB$7</f>
        <v>#DIV/0!</v>
      </c>
      <c r="AF14" s="1">
        <f>$AE$2+(12-1)/15*$AE$4</f>
        <v>0.09421924866482795</v>
      </c>
      <c r="AG14" s="4">
        <f>[1]!COUNTBETW(rmsft,$AF$14,$AF$15,2)/$AE$7</f>
        <v>0.14</v>
      </c>
      <c r="AI14" s="1">
        <f>$AH$2+(2*12-1)/(2*15)*$AH$4</f>
        <v>0.11763273210882247</v>
      </c>
      <c r="AJ14" s="2">
        <f>[1]!COUNTBETW(rmsft,($AI$14+$AI$13)/2,($AI$14+$AI$15)/2,2)</f>
        <v>14</v>
      </c>
      <c r="AL14" s="1">
        <f>$AK$2+12/15*$AK$4</f>
        <v>0.141046215552817</v>
      </c>
      <c r="AM14" s="2">
        <f>[1]!COUNTBETW(rmsft,$AL$13,$AL$14,3)</f>
        <v>14</v>
      </c>
      <c r="AO14" s="1">
        <f>$AN$2+(2*12-1)/(2*15)*$AN$4</f>
        <v>0.1024811599555896</v>
      </c>
      <c r="AP14" s="4">
        <f>[1]!COUNTBETW(rsbux,($AO$14+$AO$13)/2,($AO$14+$AO$15)/2,2)/$AN$7</f>
        <v>0.11</v>
      </c>
      <c r="AR14" s="1">
        <f>$AQ$2+(2*12-1)/(2*15)*$AQ$4</f>
        <v>0.034011506276369424</v>
      </c>
      <c r="AS14" s="4">
        <f>[1]!COUNTBETW(rsp500,($AR$14+$AR$13)/2,($AR$14+$AR$15)/2,2)/$AQ$7</f>
        <v>0.19</v>
      </c>
      <c r="AU14" s="1">
        <f>$AT$2+(2*12-1)/(2*15)*$AT$4</f>
        <v>0.004458822812979971</v>
      </c>
      <c r="AV14" s="4">
        <f>[1]!COUNTBETW(tbill,($AU$14+$AU$13)/2,($AU$14+$AU$15)/2,2)/$AT$7</f>
        <v>0.07</v>
      </c>
      <c r="AX14" s="1">
        <v>0.10390720370505346</v>
      </c>
      <c r="AY14" s="13">
        <f>[1]!COUNTBETW(rmsft,($AX$14+$AX$13)/2,($AX$14+$AX$15)/2,2)/$AW$7</f>
        <v>0.15</v>
      </c>
      <c r="BA14" s="1">
        <v>0.10390720370505346</v>
      </c>
      <c r="BB14" s="13">
        <f>[1]!COUNTBETW(rsbux,($BA$14+$BA$13)/2,($BA$14+$BA$15)/2,2)/$AZ$7</f>
        <v>0.11</v>
      </c>
      <c r="BD14" s="1">
        <v>0.10390720370505346</v>
      </c>
      <c r="BE14" s="13">
        <f>[1]!COUNTBETW(rsp500,($BD$14+$BD$13)/2,($BD$14+$BD$15)/2,2)/$BC$7</f>
        <v>0.01</v>
      </c>
      <c r="BG14" s="1">
        <v>0.10390720370505346</v>
      </c>
      <c r="BH14" s="13">
        <f>[1]!COUNTBETW(tbill,($BG$14+$BG$13)/2,($BG$14+$BG$15)/2,2)/$BF$7</f>
        <v>0</v>
      </c>
      <c r="BJ14" s="1">
        <f>$BI$2+(2*12-1)/(2*15)*$BI$4</f>
        <v>0.11763273210882247</v>
      </c>
      <c r="BK14" s="4">
        <f>[1]!COUNTBETW(rmsft,($BJ$14+$BJ$13)/2,($BJ$14+$BJ$15)/2,2)/$BI$7</f>
        <v>0.14</v>
      </c>
    </row>
    <row r="15" spans="2:63" ht="12.75">
      <c r="B15" s="1">
        <f>$A$2+(2*13-1)/(2*15)*$A$4</f>
        <v>0.15310570258321143</v>
      </c>
      <c r="C15" s="2">
        <f>[1]!COUNTBETW(rsbux,($B$15+$B$14)/2,($B$15+$B$16)/2,2)</f>
        <v>5</v>
      </c>
      <c r="E15" s="1">
        <f>$D$2+(2*13-1)/(2*25)*$D$4</f>
        <v>-0.10001701055489759</v>
      </c>
      <c r="F15" s="2">
        <f>[1]!COUNTBETW(rsbux,($E$15+$E$14)/2,($E$15+$E$16)/2,2)</f>
        <v>1</v>
      </c>
      <c r="K15" s="1">
        <v>0.1546557501369764</v>
      </c>
      <c r="L15" s="2">
        <f>[1]!COUNTBETW(rmsft,($K$15+$K$14)/2,($K$15+$K$16)/2,2)</f>
        <v>9</v>
      </c>
      <c r="N15" s="1">
        <v>0.1546557501369764</v>
      </c>
      <c r="O15" s="2">
        <f>[1]!COUNTBETW(rsbux,($N$15+$N$14)/2,($N$15+$N$16)/2,2)</f>
        <v>7</v>
      </c>
      <c r="Q15" s="1">
        <v>0.1546557501369764</v>
      </c>
      <c r="R15" s="2">
        <f>[1]!COUNTBETW(rsp500,($Q$15+$Q$14)/2,($Q$15+$Q$16)/2,2)</f>
        <v>0</v>
      </c>
      <c r="T15" s="1">
        <v>0.1546557501369764</v>
      </c>
      <c r="U15" s="2">
        <f>[1]!COUNTBETW(rmsft,($T$15+$T$14)/2,($T$15+$T$16)/2,2)+$U$14</f>
        <v>94</v>
      </c>
      <c r="W15" s="1">
        <v>0.1546557501369764</v>
      </c>
      <c r="X15" s="2">
        <f>[1]!COUNTBETW(rsbux,($W$15+$W$14)/2,($W$15+$W$16)/2,2)+$X$14</f>
        <v>86</v>
      </c>
      <c r="Z15" s="1">
        <v>0.1546557501369764</v>
      </c>
      <c r="AA15" s="2">
        <f>[1]!COUNTBETW(rsp500,($Z$15+$Z$14)/2,($Z$15+$Z$16)/2,2)+$AA$14</f>
        <v>100</v>
      </c>
      <c r="AC15" s="3">
        <f>$AB$2+(2*13-1)/(2*15)*$AB$4</f>
        <v>0</v>
      </c>
      <c r="AD15" s="4" t="e">
        <f>[1]!COUNTBETW(data!AB3:AB102,($AC$15+$AC$14)/2,($AC$15+$AC$16)/2,2)/$AB$7</f>
        <v>#DIV/0!</v>
      </c>
      <c r="AF15" s="1">
        <f>$AE$2+(13-1)/15*$AE$4</f>
        <v>0.141046215552817</v>
      </c>
      <c r="AG15" s="4">
        <f>[1]!COUNTBETW(rmsft,$AF$15,$AF$16,2)/$AE$7</f>
        <v>0.05</v>
      </c>
      <c r="AI15" s="1">
        <f>$AH$2+(2*13-1)/(2*15)*$AH$4</f>
        <v>0.1644596989968115</v>
      </c>
      <c r="AJ15" s="2">
        <f>[1]!COUNTBETW(rmsft,($AI$15+$AI$14)/2,($AI$15+$AI$16)/2,2)</f>
        <v>5</v>
      </c>
      <c r="AL15" s="1">
        <f>$AK$2+13/15*$AK$4</f>
        <v>0.18787318244080603</v>
      </c>
      <c r="AM15" s="2">
        <f>[1]!COUNTBETW(rmsft,$AL$14,$AL$15,3)</f>
        <v>5</v>
      </c>
      <c r="AO15" s="1">
        <f>$AN$2+(2*13-1)/(2*15)*$AN$4</f>
        <v>0.15310570258321143</v>
      </c>
      <c r="AP15" s="4">
        <f>[1]!COUNTBETW(rsbux,($AO$15+$AO$14)/2,($AO$15+$AO$16)/2,2)/$AN$7</f>
        <v>0.05</v>
      </c>
      <c r="AR15" s="1">
        <f>$AQ$2+(2*13-1)/(2*15)*$AQ$4</f>
        <v>0.05067216508947059</v>
      </c>
      <c r="AS15" s="4">
        <f>[1]!COUNTBETW(rsp500,($AR$15+$AR$14)/2,($AR$15+$AR$16)/2,2)/$AQ$7</f>
        <v>0.12</v>
      </c>
      <c r="AU15" s="1">
        <f>$AT$2+(2*13-1)/(2*15)*$AT$4</f>
        <v>0.004637278713018982</v>
      </c>
      <c r="AV15" s="4">
        <f>[1]!COUNTBETW(tbill,($AU$15+$AU$14)/2,($AU$15+$AU$16)/2,2)/$AT$7</f>
        <v>0.04</v>
      </c>
      <c r="AX15" s="1">
        <v>0.1546557501369764</v>
      </c>
      <c r="AY15" s="13">
        <f>[1]!COUNTBETW(rmsft,($AX$15+$AX$14)/2,($AX$15+$AX$16)/2,2)/$AW$7</f>
        <v>0.09</v>
      </c>
      <c r="BA15" s="1">
        <v>0.1546557501369764</v>
      </c>
      <c r="BB15" s="13">
        <f>[1]!COUNTBETW(rsbux,($BA$15+$BA$14)/2,($BA$15+$BA$16)/2,2)/$AZ$7</f>
        <v>0.07</v>
      </c>
      <c r="BD15" s="1">
        <v>0.1546557501369764</v>
      </c>
      <c r="BE15" s="13">
        <f>[1]!COUNTBETW(rsp500,($BD$15+$BD$14)/2,($BD$15+$BD$16)/2,2)/$BC$7</f>
        <v>0</v>
      </c>
      <c r="BG15" s="1">
        <v>0.1546557501369764</v>
      </c>
      <c r="BH15" s="13">
        <f>[1]!COUNTBETW(tbill,($BG$15+$BG$14)/2,($BG$15+$BG$16)/2,2)/$BF$7</f>
        <v>0</v>
      </c>
      <c r="BJ15" s="1">
        <f>$BI$2+(2*13-1)/(2*15)*$BI$4</f>
        <v>0.1644596989968115</v>
      </c>
      <c r="BK15" s="4">
        <f>[1]!COUNTBETW(rmsft,($BJ$15+$BJ$14)/2,($BJ$15+$BJ$16)/2,2)/$BI$7</f>
        <v>0.05</v>
      </c>
    </row>
    <row r="16" spans="2:63" ht="12.75">
      <c r="B16" s="1">
        <f>$A$2+(2*14-1)/(2*15)*$A$4</f>
        <v>0.20373024521083316</v>
      </c>
      <c r="C16" s="2">
        <f>[1]!COUNTBETW(rsbux,($B$16+$B$15)/2,($B$16+$B$17)/2,2)</f>
        <v>10</v>
      </c>
      <c r="E16" s="1">
        <f>$D$2+(2*14-1)/(2*25)*$D$4</f>
        <v>-0.06964228497832448</v>
      </c>
      <c r="F16" s="2">
        <f>[1]!COUNTBETW(rsbux,($E$16+$E$15)/2,($E$16+$E$17)/2,2)</f>
        <v>5</v>
      </c>
      <c r="K16" s="1">
        <v>0.20540429656889947</v>
      </c>
      <c r="L16" s="2">
        <f>[1]!COUNTBETW(rmsft,($K$16+$K$15)/2,($K$16+$K$17)/2,2)</f>
        <v>1</v>
      </c>
      <c r="N16" s="1">
        <v>0.20540429656889947</v>
      </c>
      <c r="O16" s="2">
        <f>[1]!COUNTBETW(rsbux,($N$16+$N$15)/2,($N$16+$N$17)/2,2)</f>
        <v>8</v>
      </c>
      <c r="Q16" s="1">
        <v>0.20540429656889947</v>
      </c>
      <c r="R16" s="2">
        <f>[1]!COUNTBETW(rsp500,($Q$16+$Q$15)/2,($Q$16+$Q$17)/2,2)</f>
        <v>0</v>
      </c>
      <c r="T16" s="1">
        <v>0.20540429656889947</v>
      </c>
      <c r="U16" s="2">
        <f>[1]!COUNTBETW(rmsft,($T$16+$T$15)/2,($T$16+$T$17)/2,2)+$U$15</f>
        <v>95</v>
      </c>
      <c r="W16" s="1">
        <v>0.20540429656889947</v>
      </c>
      <c r="X16" s="2">
        <f>[1]!COUNTBETW(rsbux,($W$16+$W$15)/2,($W$16+$W$17)/2,2)+$X$15</f>
        <v>94</v>
      </c>
      <c r="Z16" s="1">
        <v>0.20540429656889947</v>
      </c>
      <c r="AA16" s="2">
        <f>[1]!COUNTBETW(rsp500,($Z$16+$Z$15)/2,($Z$16+$Z$17)/2,2)+$AA$15</f>
        <v>100</v>
      </c>
      <c r="AC16" s="3">
        <f>$AB$2+(2*14-1)/(2*15)*$AB$4</f>
        <v>0</v>
      </c>
      <c r="AD16" s="4" t="e">
        <f>[1]!COUNTBETW(data!AB3:AB102,($AC$16+$AC$15)/2,($AC$16+$AC$17)/2,2)/$AB$7</f>
        <v>#DIV/0!</v>
      </c>
      <c r="AF16" s="1">
        <f>$AE$2+(14-1)/15*$AE$4</f>
        <v>0.18787318244080603</v>
      </c>
      <c r="AG16" s="4">
        <f>[1]!COUNTBETW(rmsft,$AF$16,$AF$17,2)/$AE$7</f>
        <v>0.02</v>
      </c>
      <c r="AI16" s="1">
        <f>$AH$2+(2*14-1)/(2*15)*$AH$4</f>
        <v>0.21128666588480055</v>
      </c>
      <c r="AJ16" s="2">
        <f>[1]!COUNTBETW(rmsft,($AI$16+$AI$15)/2,($AI$16+$AI$17)/2,2)</f>
        <v>2</v>
      </c>
      <c r="AL16" s="1">
        <f>$AK$2+14/15*$AK$4</f>
        <v>0.23470014932879496</v>
      </c>
      <c r="AM16" s="2">
        <f>[1]!COUNTBETW(rmsft,$AL$15,$AL$16,3)</f>
        <v>2</v>
      </c>
      <c r="AO16" s="1">
        <f>$AN$2+(2*14-1)/(2*15)*$AN$4</f>
        <v>0.20373024521083316</v>
      </c>
      <c r="AP16" s="4">
        <f>[1]!COUNTBETW(rsbux,($AO$16+$AO$15)/2,($AO$16+$AO$17)/2,2)/$AN$7</f>
        <v>0.1</v>
      </c>
      <c r="AR16" s="1">
        <f>$AQ$2+(2*14-1)/(2*15)*$AQ$4</f>
        <v>0.06733282390257178</v>
      </c>
      <c r="AS16" s="4">
        <f>[1]!COUNTBETW(rsp500,($AR$16+$AR$15)/2,($AR$16+$AR$17)/2,2)/$AQ$7</f>
        <v>0.06</v>
      </c>
      <c r="AU16" s="1">
        <f>$AT$2+(2*14-1)/(2*15)*$AT$4</f>
        <v>0.004815734613057992</v>
      </c>
      <c r="AV16" s="4">
        <f>[1]!COUNTBETW(tbill,($AU$16+$AU$15)/2,($AU$16+$AU$17)/2,2)/$AT$7</f>
        <v>0.08</v>
      </c>
      <c r="AX16" s="1">
        <v>0.20540429656889947</v>
      </c>
      <c r="AY16" s="13">
        <f>[1]!COUNTBETW(rmsft,($AX$16+$AX$15)/2,($AX$16+$AX$17)/2,2)/$AW$7</f>
        <v>0.01</v>
      </c>
      <c r="BA16" s="1">
        <v>0.20540429656889947</v>
      </c>
      <c r="BB16" s="13">
        <f>[1]!COUNTBETW(rsbux,($BA$16+$BA$15)/2,($BA$16+$BA$17)/2,2)/$AZ$7</f>
        <v>0.08</v>
      </c>
      <c r="BD16" s="1">
        <v>0.20540429656889947</v>
      </c>
      <c r="BE16" s="13">
        <f>[1]!COUNTBETW(rsp500,($BD$16+$BD$15)/2,($BD$16+$BD$17)/2,2)/$BC$7</f>
        <v>0</v>
      </c>
      <c r="BG16" s="1">
        <v>0.20540429656889947</v>
      </c>
      <c r="BH16" s="13">
        <f>[1]!COUNTBETW(tbill,($BG$16+$BG$15)/2,($BG$16+$BG$17)/2,2)/$BF$7</f>
        <v>0</v>
      </c>
      <c r="BJ16" s="1">
        <f>$BI$2+(2*14-1)/(2*15)*$BI$4</f>
        <v>0.21128666588480055</v>
      </c>
      <c r="BK16" s="4">
        <f>[1]!COUNTBETW(rmsft,($BJ$16+$BJ$15)/2,($BJ$16+$BJ$17)/2,2)/$BI$7</f>
        <v>0.02</v>
      </c>
    </row>
    <row r="17" spans="2:63" ht="12.75">
      <c r="B17" s="1">
        <f>$A$2+(2*15-1)/(2*15)*$A$4</f>
        <v>0.254354787838455</v>
      </c>
      <c r="C17" s="2">
        <f>[1]!COUNTBETW(rsbux,($B$17+$B$16)/2,$A$3,4)</f>
        <v>6</v>
      </c>
      <c r="E17" s="1">
        <f>$D$2+(2*15-1)/(2*25)*$D$4</f>
        <v>-0.03926755940175147</v>
      </c>
      <c r="F17" s="2">
        <f>[1]!COUNTBETW(rsbux,($E$17+$E$16)/2,($E$17+$E$18)/2,2)</f>
        <v>6</v>
      </c>
      <c r="K17" s="1">
        <v>0.2561528430008224</v>
      </c>
      <c r="L17" s="2">
        <f>[1]!COUNTBETW(rmsft,($K$17+$K$16)/2,$J$3,4)</f>
        <v>5</v>
      </c>
      <c r="N17" s="1">
        <v>0.2561528430008224</v>
      </c>
      <c r="O17" s="2">
        <f>[1]!COUNTBETW(rsbux,($N$17+$N$16)/2,$M$3,4)</f>
        <v>6</v>
      </c>
      <c r="Q17" s="1">
        <v>0.2561528430008224</v>
      </c>
      <c r="R17" s="2">
        <f>[1]!COUNTBETW(rsp500,($Q$17+$Q$16)/2,$P$3,4)</f>
        <v>0</v>
      </c>
      <c r="T17" s="1">
        <v>0.2561528430008224</v>
      </c>
      <c r="U17" s="2">
        <f>[1]!COUNTBETW(rmsft,($T$17+$T$16)/2,$S$3,4)+$U$16</f>
        <v>100</v>
      </c>
      <c r="W17" s="1">
        <v>0.2561528430008224</v>
      </c>
      <c r="X17" s="2">
        <f>[1]!COUNTBETW(rsbux,($W$17+$W$16)/2,$V$3,4)+$X$16</f>
        <v>100</v>
      </c>
      <c r="Z17" s="1">
        <v>0.2561528430008224</v>
      </c>
      <c r="AA17" s="2">
        <f>[1]!COUNTBETW(rsp500,($Z$17+$Z$16)/2,$Y$3,4)+$AA$16</f>
        <v>100</v>
      </c>
      <c r="AC17" s="3">
        <f>$AB$2+(2*15-1)/(2*15)*$AB$4</f>
        <v>0</v>
      </c>
      <c r="AD17" s="4" t="e">
        <f>[1]!COUNTBETW(data!AB3:AB102,($AC$17+$AC$16)/2,$AB$3,4)/$AB$7</f>
        <v>#DIV/0!</v>
      </c>
      <c r="AF17" s="1">
        <f>$AE$2+(15-1)/15*$AE$4</f>
        <v>0.23470014932879496</v>
      </c>
      <c r="AG17" s="4">
        <f>[1]!COUNTBETW(rmsft,$AF$17,$AE$3,4)/$AE$7</f>
        <v>0.04</v>
      </c>
      <c r="AI17" s="1">
        <f>$AH$2+(2*15-1)/(2*15)*$AH$4</f>
        <v>0.2581136327727895</v>
      </c>
      <c r="AJ17" s="2">
        <f>[1]!COUNTBETW(rmsft,($AI$17+$AI$16)/2,$AH$3,4)</f>
        <v>4</v>
      </c>
      <c r="AL17" s="1">
        <f>$AK$2+15/15*$AK$4</f>
        <v>0.281527116216784</v>
      </c>
      <c r="AM17" s="2">
        <f>[1]!COUNTBETW(rmsft,$AL$16,$AL$17,3)</f>
        <v>4</v>
      </c>
      <c r="AO17" s="1">
        <f>$AN$2+(2*15-1)/(2*15)*$AN$4</f>
        <v>0.254354787838455</v>
      </c>
      <c r="AP17" s="4">
        <f>[1]!COUNTBETW(rsbux,($AO$17+$AO$16)/2,$AN$3,4)/$AN$7</f>
        <v>0.06</v>
      </c>
      <c r="AR17" s="1">
        <f>$AQ$2+(2*15-1)/(2*15)*$AQ$4</f>
        <v>0.08399348271567295</v>
      </c>
      <c r="AS17" s="4">
        <f>[1]!COUNTBETW(rsp500,($AR$17+$AR$16)/2,$AQ$3,4)/$AQ$7</f>
        <v>0.02</v>
      </c>
      <c r="AU17" s="1">
        <f>$AT$2+(2*15-1)/(2*15)*$AT$4</f>
        <v>0.004994190513097003</v>
      </c>
      <c r="AV17" s="4">
        <f>[1]!COUNTBETW(tbill,($AU$17+$AU$16)/2,$AT$3,4)/$AT$7</f>
        <v>0.04</v>
      </c>
      <c r="AX17" s="1">
        <v>0.2561528430008224</v>
      </c>
      <c r="AY17" s="13">
        <f>[1]!COUNTBETW(rmsft,($AX$17+$AX$16)/2,$AW$3,4)/$AW$7</f>
        <v>0.05</v>
      </c>
      <c r="BA17" s="1">
        <v>0.2561528430008224</v>
      </c>
      <c r="BB17" s="13">
        <f>[1]!COUNTBETW(rsbux,($BA$17+$BA$16)/2,$AZ$3,4)/$AZ$7</f>
        <v>0.06</v>
      </c>
      <c r="BD17" s="1">
        <v>0.2561528430008224</v>
      </c>
      <c r="BE17" s="13">
        <f>[1]!COUNTBETW(rsp500,($BD$17+$BD$16)/2,$BC$3,4)/$BC$7</f>
        <v>0</v>
      </c>
      <c r="BG17" s="1">
        <v>0.2561528430008224</v>
      </c>
      <c r="BH17" s="13">
        <f>[1]!COUNTBETW(tbill,($BG$17+$BG$16)/2,$BF$3,4)/$BF$7</f>
        <v>0</v>
      </c>
      <c r="BJ17" s="1">
        <f>$BI$2+(2*15-1)/(2*15)*$BI$4</f>
        <v>0.2581136327727895</v>
      </c>
      <c r="BK17" s="4">
        <f>[1]!COUNTBETW(rmsft,($BJ$17+$BJ$16)/2,$BI$3,4)/$BI$7</f>
        <v>0.04</v>
      </c>
    </row>
    <row r="18" spans="5:6" ht="12.75">
      <c r="E18" s="1">
        <f>$D$2+(2*16-1)/(2*25)*$D$4</f>
        <v>-0.008892833825178359</v>
      </c>
      <c r="F18" s="2">
        <f>[1]!COUNTBETW(rsbux,($E$18+$E$17)/2,($E$18+$E$19)/2,2)</f>
        <v>18</v>
      </c>
    </row>
    <row r="19" spans="5:6" ht="12.75">
      <c r="E19" s="1">
        <f>$D$2+(2*17-1)/(2*25)*$D$4</f>
        <v>0.0214818917513947</v>
      </c>
      <c r="F19" s="2">
        <f>[1]!COUNTBETW(rsbux,($E$19+$E$18)/2,($E$19+$E$20)/2,2)</f>
        <v>10</v>
      </c>
    </row>
    <row r="20" spans="5:6" ht="12.75">
      <c r="E20" s="1">
        <f>$D$2+(2*18-1)/(2*25)*$D$4</f>
        <v>0.05185661732796776</v>
      </c>
      <c r="F20" s="2">
        <f>[1]!COUNTBETW(rsbux,($E$20+$E$19)/2,($E$20+$E$21)/2,2)</f>
        <v>13</v>
      </c>
    </row>
    <row r="21" spans="5:6" ht="12.75">
      <c r="E21" s="1">
        <f>$D$2+(2*19-1)/(2*25)*$D$4</f>
        <v>0.08223134290454082</v>
      </c>
      <c r="F21" s="2">
        <f>[1]!COUNTBETW(rsbux,($E$21+$E$20)/2,($E$21+$E$22)/2,2)</f>
        <v>9</v>
      </c>
    </row>
    <row r="22" spans="5:6" ht="12.75">
      <c r="E22" s="1">
        <f>$D$2+(2*20-1)/(2*25)*$D$4</f>
        <v>0.11260606848111399</v>
      </c>
      <c r="F22" s="2">
        <f>[1]!COUNTBETW(rsbux,($E$22+$E$21)/2,($E$22+$E$23)/2,2)</f>
        <v>5</v>
      </c>
    </row>
    <row r="23" spans="5:6" ht="12.75">
      <c r="E23" s="1">
        <f>$D$2+(2*21-1)/(2*25)*$D$4</f>
        <v>0.14298079405768693</v>
      </c>
      <c r="F23" s="2">
        <f>[1]!COUNTBETW(rsbux,($E$23+$E$22)/2,($E$23+$E$24)/2,2)</f>
        <v>4</v>
      </c>
    </row>
    <row r="24" spans="5:6" ht="12.75">
      <c r="E24" s="1">
        <f>$D$2+(2*22-1)/(2*25)*$D$4</f>
        <v>0.1733555196342601</v>
      </c>
      <c r="F24" s="2">
        <f>[1]!COUNTBETW(rsbux,($E$24+$E$23)/2,($E$24+$E$25)/2,2)</f>
        <v>4</v>
      </c>
    </row>
    <row r="25" spans="5:6" ht="12.75">
      <c r="E25" s="1">
        <f>$D$2+(2*23-1)/(2*25)*$D$4</f>
        <v>0.20373024521083316</v>
      </c>
      <c r="F25" s="2">
        <f>[1]!COUNTBETW(rsbux,($E$25+$E$24)/2,($E$25+$E$26)/2,2)</f>
        <v>7</v>
      </c>
    </row>
    <row r="26" spans="5:6" ht="12.75">
      <c r="E26" s="1">
        <f>$D$2+(2*24-1)/(2*25)*$D$4</f>
        <v>0.23410497078740622</v>
      </c>
      <c r="F26" s="2">
        <f>[1]!COUNTBETW(rsbux,($E$26+$E$25)/2,($E$26+$E$27)/2,2)</f>
        <v>3</v>
      </c>
    </row>
    <row r="27" spans="5:6" ht="12.75">
      <c r="E27" s="1">
        <f>$D$2+(2*25-1)/(2*25)*$D$4</f>
        <v>0.2644796963639793</v>
      </c>
      <c r="F27" s="2">
        <f>[1]!COUNTBETW(rsbux,($E$27+$E$26)/2,$D$3,4)</f>
        <v>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Economics, 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Zivot</dc:creator>
  <cp:keywords/>
  <dc:description/>
  <cp:lastModifiedBy>ezivot</cp:lastModifiedBy>
  <dcterms:created xsi:type="dcterms:W3CDTF">2001-06-25T03:42:18Z</dcterms:created>
  <dcterms:modified xsi:type="dcterms:W3CDTF">2002-01-29T16:02:24Z</dcterms:modified>
  <cp:category/>
  <cp:version/>
  <cp:contentType/>
  <cp:contentStatus/>
</cp:coreProperties>
</file>